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65" windowWidth="15480" windowHeight="7875"/>
  </bookViews>
  <sheets>
    <sheet name="Inkomster och utläggTotalt 2013" sheetId="1" r:id="rId1"/>
    <sheet name="december" sheetId="15" r:id="rId2"/>
    <sheet name="november" sheetId="14" r:id="rId3"/>
    <sheet name="oktober" sheetId="13" r:id="rId4"/>
    <sheet name="september" sheetId="12" r:id="rId5"/>
    <sheet name="augusti" sheetId="11" r:id="rId6"/>
    <sheet name="juli" sheetId="10" r:id="rId7"/>
    <sheet name="juni" sheetId="9" r:id="rId8"/>
    <sheet name="maj" sheetId="8" r:id="rId9"/>
    <sheet name="april" sheetId="7" r:id="rId10"/>
    <sheet name="mars" sheetId="6" r:id="rId11"/>
    <sheet name="februari" sheetId="5" r:id="rId12"/>
    <sheet name="Januari" sheetId="2" r:id="rId13"/>
    <sheet name="månad mall" sheetId="4" r:id="rId14"/>
  </sheets>
  <calcPr calcId="145621"/>
</workbook>
</file>

<file path=xl/calcChain.xml><?xml version="1.0" encoding="utf-8"?>
<calcChain xmlns="http://schemas.openxmlformats.org/spreadsheetml/2006/main">
  <c r="H22" i="1" l="1"/>
  <c r="F23" i="1" l="1"/>
  <c r="D23" i="1"/>
  <c r="C23" i="1"/>
  <c r="D25" i="1" l="1"/>
  <c r="C25" i="1"/>
  <c r="F25" i="1"/>
  <c r="F59" i="1" l="1"/>
  <c r="C19" i="15" l="1"/>
  <c r="C15" i="15"/>
  <c r="C4" i="15"/>
  <c r="C3" i="15"/>
  <c r="C5" i="15"/>
  <c r="C14" i="15"/>
  <c r="C17" i="14"/>
  <c r="C6" i="14"/>
  <c r="C18" i="13"/>
  <c r="C3" i="13"/>
  <c r="C14" i="13"/>
  <c r="C4" i="13"/>
  <c r="C13" i="13"/>
  <c r="C4" i="12"/>
  <c r="C10" i="12"/>
  <c r="C23" i="12" s="1"/>
  <c r="C3" i="12"/>
  <c r="C13" i="11"/>
  <c r="C19" i="11" s="1"/>
  <c r="C4" i="11"/>
  <c r="C3" i="11"/>
  <c r="C5" i="11"/>
  <c r="C23" i="10"/>
  <c r="C20" i="10"/>
  <c r="C21" i="10"/>
  <c r="C5" i="10"/>
  <c r="C3" i="10"/>
  <c r="C6" i="10"/>
  <c r="C11" i="9"/>
  <c r="C3" i="9"/>
  <c r="C6" i="9" s="1"/>
  <c r="C20" i="9"/>
  <c r="D41" i="1"/>
  <c r="D42" i="1"/>
  <c r="D32" i="1"/>
  <c r="C18" i="8"/>
  <c r="C17" i="8"/>
  <c r="C19" i="8"/>
  <c r="C11" i="8"/>
  <c r="C12" i="8"/>
  <c r="C5" i="8"/>
  <c r="C4" i="8"/>
  <c r="C3" i="8"/>
  <c r="C28" i="8"/>
  <c r="C22" i="9" l="1"/>
  <c r="C24" i="9" s="1"/>
  <c r="C29" i="9" s="1"/>
  <c r="C30" i="9" s="1"/>
  <c r="C21" i="15"/>
  <c r="C6" i="15"/>
  <c r="C19" i="14"/>
  <c r="C24" i="14" s="1"/>
  <c r="C25" i="14" s="1"/>
  <c r="C22" i="13"/>
  <c r="C5" i="13"/>
  <c r="C5" i="12"/>
  <c r="C25" i="12" s="1"/>
  <c r="C30" i="12" s="1"/>
  <c r="C31" i="12" s="1"/>
  <c r="C6" i="11"/>
  <c r="C21" i="11" s="1"/>
  <c r="C26" i="11" s="1"/>
  <c r="C27" i="11" s="1"/>
  <c r="C8" i="10"/>
  <c r="C25" i="10" s="1"/>
  <c r="C30" i="10" s="1"/>
  <c r="C31" i="10" s="1"/>
  <c r="C20" i="8"/>
  <c r="C6" i="8"/>
  <c r="C20" i="7"/>
  <c r="C23" i="15" l="1"/>
  <c r="C28" i="15" s="1"/>
  <c r="C29" i="15" s="1"/>
  <c r="C24" i="13"/>
  <c r="C29" i="13" s="1"/>
  <c r="C30" i="13" s="1"/>
  <c r="C22" i="8"/>
  <c r="C4" i="7"/>
  <c r="C11" i="7"/>
  <c r="C5" i="7"/>
  <c r="C3" i="7"/>
  <c r="C14" i="7"/>
  <c r="C8" i="6"/>
  <c r="C34" i="6"/>
  <c r="C26" i="6"/>
  <c r="C59" i="1"/>
  <c r="C17" i="5"/>
  <c r="C13" i="5"/>
  <c r="C5" i="5"/>
  <c r="C6" i="5"/>
  <c r="C4" i="5"/>
  <c r="C34" i="5"/>
  <c r="C31" i="4"/>
  <c r="C23" i="4"/>
  <c r="C6" i="4"/>
  <c r="C22" i="7" l="1"/>
  <c r="C6" i="7"/>
  <c r="C28" i="6"/>
  <c r="C26" i="5"/>
  <c r="D59" i="1"/>
  <c r="C8" i="5"/>
  <c r="C25" i="4"/>
  <c r="C24" i="7" l="1"/>
  <c r="C29" i="7" s="1"/>
  <c r="C30" i="7" s="1"/>
  <c r="C28" i="5"/>
  <c r="C15" i="2"/>
  <c r="C4" i="2"/>
  <c r="C34" i="2"/>
  <c r="C17" i="2"/>
  <c r="C5" i="2"/>
  <c r="C3" i="2"/>
  <c r="C24" i="2" l="1"/>
  <c r="C7" i="2"/>
  <c r="C26" i="2" l="1"/>
</calcChain>
</file>

<file path=xl/sharedStrings.xml><?xml version="1.0" encoding="utf-8"?>
<sst xmlns="http://schemas.openxmlformats.org/spreadsheetml/2006/main" count="368" uniqueCount="128">
  <si>
    <t>Intäkter</t>
  </si>
  <si>
    <t>Konto</t>
  </si>
  <si>
    <t>Medlemsavgifter</t>
  </si>
  <si>
    <t>Övriga ers. och intäkter</t>
  </si>
  <si>
    <t>SUMMA</t>
  </si>
  <si>
    <t>Kostnader</t>
  </si>
  <si>
    <t>Lokalhyra</t>
  </si>
  <si>
    <t>Frakter och kostnader</t>
  </si>
  <si>
    <t>Resekostnader</t>
  </si>
  <si>
    <t>Flygblad och affischer</t>
  </si>
  <si>
    <t>Utställningar och mässor</t>
  </si>
  <si>
    <t>Annonser</t>
  </si>
  <si>
    <t>Bankkostnader</t>
  </si>
  <si>
    <t>Medlemsavg annan org.</t>
  </si>
  <si>
    <t>Bidrag till lokalavd</t>
  </si>
  <si>
    <t>Övriga kostnader</t>
  </si>
  <si>
    <t>Maj</t>
  </si>
  <si>
    <t>September</t>
  </si>
  <si>
    <t>Kampanj</t>
  </si>
  <si>
    <t>Lön Ian Fiddies</t>
  </si>
  <si>
    <t>Lön Eva Erbenius</t>
  </si>
  <si>
    <t>Lön Rikard Rehnberg</t>
  </si>
  <si>
    <t>Anställda pensioner och försäkringar</t>
  </si>
  <si>
    <t>Övriga löner och skatter</t>
  </si>
  <si>
    <t>Summa</t>
  </si>
  <si>
    <t>Lön Eva E</t>
  </si>
  <si>
    <t>Lön Ian F</t>
  </si>
  <si>
    <t>Lön Rikard R</t>
  </si>
  <si>
    <t xml:space="preserve">Utgifter </t>
  </si>
  <si>
    <t>Inkomster</t>
  </si>
  <si>
    <t>JANUARI</t>
  </si>
  <si>
    <t>Möten</t>
  </si>
  <si>
    <t>Resor</t>
  </si>
  <si>
    <t>Möteskostnader</t>
  </si>
  <si>
    <t>Admin</t>
  </si>
  <si>
    <t>Internet</t>
  </si>
  <si>
    <t xml:space="preserve">Anställda </t>
  </si>
  <si>
    <t>AMF pensionsförsäkring</t>
  </si>
  <si>
    <t>Kanslibidrag</t>
  </si>
  <si>
    <t>Gåvor</t>
  </si>
  <si>
    <t>Bidrag arbetsförmedlingen</t>
  </si>
  <si>
    <t>Skatt &amp; socialaavgifter</t>
  </si>
  <si>
    <t>Utskrifter, porto och kuvert</t>
  </si>
  <si>
    <t>Resultat januari 2013</t>
  </si>
  <si>
    <t>Förändring på nordeakonto januari 2013</t>
  </si>
  <si>
    <t>Övriga bidrag och gåvor</t>
  </si>
  <si>
    <t>Hemsida/Internet</t>
  </si>
  <si>
    <t>=</t>
  </si>
  <si>
    <t>2013-</t>
  </si>
  <si>
    <t>månad</t>
  </si>
  <si>
    <t>Resultat månad  2013</t>
  </si>
  <si>
    <t>Betalt för mycket till Fora</t>
  </si>
  <si>
    <t>Förändring på nordeakonto februari 2013</t>
  </si>
  <si>
    <t>FEBRUARI</t>
  </si>
  <si>
    <t>Hemsidor</t>
  </si>
  <si>
    <t>Betalning bokslut</t>
  </si>
  <si>
    <t>Budgeterat</t>
  </si>
  <si>
    <t>Överföring Jans konto</t>
  </si>
  <si>
    <t>Anställda</t>
  </si>
  <si>
    <t>Kontor och möten</t>
  </si>
  <si>
    <t>Utåtriktad verksamhet</t>
  </si>
  <si>
    <t>Admin, bidrag och övrigt</t>
  </si>
  <si>
    <t>Utfall</t>
  </si>
  <si>
    <t>Resultat februari  2013</t>
  </si>
  <si>
    <t>Hyra lager</t>
  </si>
  <si>
    <t>Medlemsavgift (tidskriftsverkstaden)</t>
  </si>
  <si>
    <t>(2013-03-19 2670)</t>
  </si>
  <si>
    <t>april</t>
  </si>
  <si>
    <t>Resultat april  2013</t>
  </si>
  <si>
    <t>Förändring på nordeakonto april 2013</t>
  </si>
  <si>
    <t>(130409 9391 kr, 130409 2000kr, 130411 18466 kr)</t>
  </si>
  <si>
    <t>Anställda penisoner och försäkringar</t>
  </si>
  <si>
    <t>Förseningsavgifter</t>
  </si>
  <si>
    <t>Pins</t>
  </si>
  <si>
    <t>Kontorsmaterial</t>
  </si>
  <si>
    <t>Porto</t>
  </si>
  <si>
    <t>Felinbetalning från ABF</t>
  </si>
  <si>
    <t>Återbetalning ABF (se mars)</t>
  </si>
  <si>
    <t>Övriga intäkter, återbetalning AMF</t>
  </si>
  <si>
    <t>(14/5 9391, 16/5 2000, 21/5 18466, 30/5 27777, 30/5 952)</t>
  </si>
  <si>
    <t>Bidrag lokalorg</t>
  </si>
  <si>
    <t>Resultat maj  2013</t>
  </si>
  <si>
    <t>Förändring på nordeakonto maj 2013</t>
  </si>
  <si>
    <t>mars</t>
  </si>
  <si>
    <t>Lön Elisabeth Strand</t>
  </si>
  <si>
    <t>Medlemsavgift, andra org</t>
  </si>
  <si>
    <t>juli</t>
  </si>
  <si>
    <t>Resultat juli  2013</t>
  </si>
  <si>
    <t>Intäkter föredrag</t>
  </si>
  <si>
    <t>Återbetalning från Fora</t>
  </si>
  <si>
    <t>Föreläsningsarvode Elisabet Strand</t>
  </si>
  <si>
    <t>Föreläsningsarvode Samuel Jarrick</t>
  </si>
  <si>
    <t>Felinbetalning/återbetalning</t>
  </si>
  <si>
    <t>augusti</t>
  </si>
  <si>
    <t>Resultat augusti  2013</t>
  </si>
  <si>
    <t>18466:- 29/8, 2308:- 29/8</t>
  </si>
  <si>
    <t>Kampanjhemsida</t>
  </si>
  <si>
    <t>Resultat september  2013</t>
  </si>
  <si>
    <t>Förändring på nordeakonto september 2013</t>
  </si>
  <si>
    <t>oktober</t>
  </si>
  <si>
    <t>Resultat oktober  2013</t>
  </si>
  <si>
    <t>Förändring på nordeakonto oktober 2013</t>
  </si>
  <si>
    <t>Visitkort</t>
  </si>
  <si>
    <t xml:space="preserve"> (13-10-22)</t>
  </si>
  <si>
    <t>Utåtriktat</t>
  </si>
  <si>
    <t>Banderoll</t>
  </si>
  <si>
    <t>Polistillstånd</t>
  </si>
  <si>
    <t>Medlemsavgift Idea</t>
  </si>
  <si>
    <t>november</t>
  </si>
  <si>
    <t>Medlemsavgift annan org</t>
  </si>
  <si>
    <t>Möten/aktiviteter</t>
  </si>
  <si>
    <t>december</t>
  </si>
  <si>
    <t>Förändring på nordeakonto december 2013</t>
  </si>
  <si>
    <t>Klimatriksdag medl.avg</t>
  </si>
  <si>
    <t>Budget och utfall Klimataktion 2014</t>
  </si>
  <si>
    <t>År 2013</t>
  </si>
  <si>
    <t>Förslag</t>
  </si>
  <si>
    <t>År 2014</t>
  </si>
  <si>
    <t>Nordea 31/12</t>
  </si>
  <si>
    <t>Överfört från året innan:</t>
  </si>
  <si>
    <t>Skattekonto 31/12</t>
  </si>
  <si>
    <t>Porto + utskrifter</t>
  </si>
  <si>
    <t>Elisabet Strand 8 veckor</t>
  </si>
  <si>
    <t>Inkl bank o skattekonto</t>
  </si>
  <si>
    <t>Från 2013    13 63244</t>
  </si>
  <si>
    <t xml:space="preserve">Elisabet </t>
  </si>
  <si>
    <t>Eva</t>
  </si>
  <si>
    <t>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</si>
</sst>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r&quot;_-;\-* #,##0.00\ &quot;kr&quot;_-;_-* &quot;-&quot;??\ &quot;kr&quot;_-;_-@_-"/>
    <numFmt numFmtId="43" formatCode="_-* #,##0.00\ _k_r_-;\-* #,##0.00\ _k_r_-;_-* &quot;-&quot;??\ _k_r_-;_-@_-"/>
    <numFmt numFmtId="164" formatCode="[$-41D]mmmm\ /yy;@"/>
    <numFmt numFmtId="165" formatCode="#,##0.00_ ;\-#,##0.00\ "/>
    <numFmt numFmtId="166" formatCode="yy/mm/dd;@"/>
    <numFmt numFmtId="167" formatCode="0.0"/>
  </numFmts>
  <fonts count="2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7"/>
      <color rgb="FF000000"/>
      <name val="Verdana"/>
      <family val="2"/>
    </font>
    <font>
      <sz val="7"/>
      <color rgb="FFCC0000"/>
      <name val="Verdana"/>
      <family val="2"/>
    </font>
    <font>
      <u/>
      <sz val="11"/>
      <color theme="10"/>
      <name val="Calibri"/>
      <family val="2"/>
    </font>
    <font>
      <sz val="7"/>
      <color rgb="FF003F6E"/>
      <name val="Verdana"/>
      <family val="2"/>
    </font>
    <font>
      <sz val="11"/>
      <color theme="1"/>
      <name val="Garamond"/>
      <family val="1"/>
    </font>
    <font>
      <sz val="11"/>
      <color rgb="FF000000"/>
      <name val="Garamond"/>
      <family val="1"/>
    </font>
    <font>
      <i/>
      <sz val="11"/>
      <color theme="1"/>
      <name val="Calibri"/>
      <family val="2"/>
      <scheme val="minor"/>
    </font>
    <font>
      <sz val="11"/>
      <name val="Garamond"/>
      <family val="1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name val="Calibri"/>
      <family val="2"/>
      <scheme val="minor"/>
    </font>
    <font>
      <b/>
      <sz val="16"/>
      <color indexed="8"/>
      <name val="Calibri"/>
      <family val="2"/>
    </font>
    <font>
      <sz val="11"/>
      <color theme="1" tint="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0" fillId="0" borderId="0" xfId="0" applyFill="1"/>
    <xf numFmtId="14" fontId="0" fillId="0" borderId="0" xfId="0" applyNumberFormat="1"/>
    <xf numFmtId="43" fontId="0" fillId="0" borderId="0" xfId="1" applyFont="1"/>
    <xf numFmtId="0" fontId="9" fillId="0" borderId="1" xfId="0" applyFont="1" applyBorder="1"/>
    <xf numFmtId="43" fontId="9" fillId="0" borderId="1" xfId="1" applyFont="1" applyBorder="1"/>
    <xf numFmtId="0" fontId="10" fillId="0" borderId="0" xfId="0" applyFont="1"/>
    <xf numFmtId="4" fontId="8" fillId="0" borderId="0" xfId="0" applyNumberFormat="1" applyFont="1"/>
    <xf numFmtId="0" fontId="8" fillId="0" borderId="0" xfId="0" applyFont="1"/>
    <xf numFmtId="43" fontId="8" fillId="0" borderId="0" xfId="1" applyFont="1"/>
    <xf numFmtId="4" fontId="11" fillId="0" borderId="1" xfId="0" applyNumberFormat="1" applyFont="1" applyBorder="1"/>
    <xf numFmtId="43" fontId="9" fillId="0" borderId="0" xfId="0" applyNumberFormat="1" applyFont="1"/>
    <xf numFmtId="0" fontId="9" fillId="0" borderId="0" xfId="0" applyFont="1"/>
    <xf numFmtId="0" fontId="12" fillId="0" borderId="0" xfId="0" applyFont="1"/>
    <xf numFmtId="0" fontId="13" fillId="0" borderId="0" xfId="0" applyFont="1"/>
    <xf numFmtId="44" fontId="0" fillId="0" borderId="0" xfId="2" applyFont="1"/>
    <xf numFmtId="0" fontId="0" fillId="0" borderId="3" xfId="0" applyBorder="1"/>
    <xf numFmtId="44" fontId="0" fillId="0" borderId="3" xfId="2" applyFont="1" applyBorder="1"/>
    <xf numFmtId="164" fontId="7" fillId="0" borderId="0" xfId="0" applyNumberFormat="1" applyFont="1"/>
    <xf numFmtId="164" fontId="12" fillId="0" borderId="0" xfId="0" applyNumberFormat="1" applyFont="1"/>
    <xf numFmtId="43" fontId="0" fillId="0" borderId="0" xfId="1" applyNumberFormat="1" applyFont="1"/>
    <xf numFmtId="0" fontId="12" fillId="0" borderId="0" xfId="0" applyFont="1" applyBorder="1"/>
    <xf numFmtId="44" fontId="12" fillId="0" borderId="0" xfId="2" applyFont="1" applyBorder="1"/>
    <xf numFmtId="0" fontId="0" fillId="0" borderId="0" xfId="0" applyBorder="1"/>
    <xf numFmtId="44" fontId="0" fillId="0" borderId="0" xfId="2" applyFont="1" applyBorder="1"/>
    <xf numFmtId="0" fontId="10" fillId="0" borderId="0" xfId="0" applyFont="1" applyBorder="1"/>
    <xf numFmtId="0" fontId="9" fillId="0" borderId="0" xfId="0" applyFont="1" applyBorder="1"/>
    <xf numFmtId="44" fontId="9" fillId="0" borderId="0" xfId="2" applyFont="1" applyBorder="1"/>
    <xf numFmtId="14" fontId="0" fillId="0" borderId="2" xfId="0" applyNumberFormat="1" applyBorder="1"/>
    <xf numFmtId="0" fontId="16" fillId="0" borderId="0" xfId="3" applyFill="1" applyAlignment="1" applyProtection="1">
      <alignment horizontal="left" vertical="top" wrapText="1"/>
    </xf>
    <xf numFmtId="0" fontId="16" fillId="0" borderId="0" xfId="3" applyFill="1" applyBorder="1" applyAlignment="1" applyProtection="1">
      <alignment horizontal="left" vertical="top" wrapText="1"/>
    </xf>
    <xf numFmtId="0" fontId="0" fillId="0" borderId="0" xfId="0" applyAlignment="1">
      <alignment wrapText="1"/>
    </xf>
    <xf numFmtId="0" fontId="14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right" vertical="top" wrapText="1"/>
    </xf>
    <xf numFmtId="0" fontId="0" fillId="2" borderId="0" xfId="0" applyFill="1" applyAlignment="1">
      <alignment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right" vertical="top" wrapText="1"/>
    </xf>
    <xf numFmtId="0" fontId="15" fillId="0" borderId="0" xfId="0" applyFont="1" applyFill="1" applyBorder="1" applyAlignment="1">
      <alignment horizontal="right" vertical="top" wrapText="1"/>
    </xf>
    <xf numFmtId="0" fontId="15" fillId="0" borderId="0" xfId="0" applyFont="1" applyFill="1" applyAlignment="1">
      <alignment horizontal="right" vertical="top" wrapText="1"/>
    </xf>
    <xf numFmtId="0" fontId="17" fillId="0" borderId="0" xfId="0" applyFont="1" applyFill="1" applyAlignment="1">
      <alignment wrapText="1"/>
    </xf>
    <xf numFmtId="0" fontId="0" fillId="0" borderId="0" xfId="0" applyBorder="1" applyAlignment="1">
      <alignment wrapText="1"/>
    </xf>
    <xf numFmtId="0" fontId="14" fillId="0" borderId="0" xfId="0" applyFont="1" applyAlignment="1">
      <alignment wrapText="1"/>
    </xf>
    <xf numFmtId="44" fontId="0" fillId="0" borderId="0" xfId="2" applyFont="1" applyBorder="1" applyAlignment="1">
      <alignment wrapText="1"/>
    </xf>
    <xf numFmtId="0" fontId="10" fillId="0" borderId="0" xfId="0" applyFont="1" applyBorder="1" applyAlignment="1">
      <alignment wrapText="1"/>
    </xf>
    <xf numFmtId="14" fontId="0" fillId="0" borderId="0" xfId="0" applyNumberFormat="1" applyAlignment="1">
      <alignment horizontal="left"/>
    </xf>
    <xf numFmtId="14" fontId="0" fillId="0" borderId="2" xfId="0" applyNumberForma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1" applyNumberFormat="1" applyFont="1"/>
    <xf numFmtId="0" fontId="0" fillId="0" borderId="0" xfId="0"/>
    <xf numFmtId="166" fontId="18" fillId="0" borderId="0" xfId="0" applyNumberFormat="1" applyFont="1"/>
    <xf numFmtId="165" fontId="18" fillId="0" borderId="0" xfId="2" applyNumberFormat="1" applyFont="1"/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2" fontId="19" fillId="0" borderId="0" xfId="2" applyNumberFormat="1" applyFont="1"/>
    <xf numFmtId="0" fontId="14" fillId="0" borderId="0" xfId="0" applyFont="1"/>
    <xf numFmtId="2" fontId="0" fillId="0" borderId="0" xfId="0" applyNumberFormat="1"/>
    <xf numFmtId="14" fontId="0" fillId="0" borderId="3" xfId="0" applyNumberFormat="1" applyBorder="1"/>
    <xf numFmtId="167" fontId="1" fillId="0" borderId="0" xfId="1" applyNumberFormat="1" applyFont="1"/>
    <xf numFmtId="166" fontId="21" fillId="0" borderId="0" xfId="0" applyNumberFormat="1" applyFont="1"/>
    <xf numFmtId="165" fontId="21" fillId="0" borderId="0" xfId="2" applyNumberFormat="1" applyFont="1"/>
    <xf numFmtId="0" fontId="21" fillId="0" borderId="0" xfId="0" applyFont="1" applyAlignment="1">
      <alignment horizontal="right"/>
    </xf>
    <xf numFmtId="0" fontId="21" fillId="0" borderId="0" xfId="0" applyFont="1"/>
    <xf numFmtId="166" fontId="22" fillId="0" borderId="0" xfId="0" applyNumberFormat="1" applyFont="1"/>
    <xf numFmtId="165" fontId="23" fillId="0" borderId="0" xfId="2" applyNumberFormat="1" applyFont="1"/>
    <xf numFmtId="0" fontId="22" fillId="0" borderId="0" xfId="0" applyFont="1" applyAlignment="1">
      <alignment horizontal="right"/>
    </xf>
    <xf numFmtId="0" fontId="24" fillId="0" borderId="0" xfId="0" applyFont="1"/>
    <xf numFmtId="167" fontId="0" fillId="0" borderId="0" xfId="0" applyNumberFormat="1"/>
    <xf numFmtId="167" fontId="0" fillId="0" borderId="0" xfId="0" applyNumberFormat="1" applyFill="1"/>
    <xf numFmtId="167" fontId="0" fillId="0" borderId="0" xfId="1" applyNumberFormat="1" applyFont="1"/>
    <xf numFmtId="167" fontId="4" fillId="0" borderId="0" xfId="0" applyNumberFormat="1" applyFont="1"/>
    <xf numFmtId="167" fontId="1" fillId="0" borderId="0" xfId="0" applyNumberFormat="1" applyFont="1"/>
    <xf numFmtId="167" fontId="3" fillId="0" borderId="0" xfId="0" applyNumberFormat="1" applyFont="1"/>
    <xf numFmtId="167" fontId="3" fillId="0" borderId="0" xfId="0" applyNumberFormat="1" applyFont="1" applyFill="1"/>
    <xf numFmtId="167" fontId="2" fillId="0" borderId="0" xfId="0" applyNumberFormat="1" applyFont="1" applyAlignment="1">
      <alignment horizontal="left"/>
    </xf>
    <xf numFmtId="167" fontId="5" fillId="0" borderId="0" xfId="0" applyNumberFormat="1" applyFont="1"/>
    <xf numFmtId="167" fontId="1" fillId="0" borderId="0" xfId="0" applyNumberFormat="1" applyFont="1" applyAlignment="1"/>
    <xf numFmtId="167" fontId="1" fillId="0" borderId="0" xfId="0" applyNumberFormat="1" applyFont="1" applyFill="1"/>
    <xf numFmtId="167" fontId="2" fillId="0" borderId="0" xfId="0" applyNumberFormat="1" applyFont="1"/>
    <xf numFmtId="167" fontId="0" fillId="0" borderId="0" xfId="0" applyNumberForma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left"/>
    </xf>
    <xf numFmtId="167" fontId="20" fillId="0" borderId="0" xfId="0" applyNumberFormat="1" applyFont="1"/>
    <xf numFmtId="167" fontId="0" fillId="0" borderId="0" xfId="0" applyNumberFormat="1" applyFont="1"/>
    <xf numFmtId="0" fontId="19" fillId="0" borderId="0" xfId="0" applyFont="1"/>
    <xf numFmtId="44" fontId="0" fillId="0" borderId="0" xfId="0" applyNumberFormat="1"/>
    <xf numFmtId="4" fontId="0" fillId="0" borderId="0" xfId="0" applyNumberFormat="1"/>
    <xf numFmtId="43" fontId="0" fillId="0" borderId="0" xfId="0" applyNumberFormat="1"/>
    <xf numFmtId="167" fontId="4" fillId="0" borderId="0" xfId="0" applyNumberFormat="1" applyFont="1" applyAlignment="1">
      <alignment horizontal="left"/>
    </xf>
    <xf numFmtId="2" fontId="1" fillId="0" borderId="0" xfId="0" applyNumberFormat="1" applyFont="1"/>
    <xf numFmtId="0" fontId="0" fillId="2" borderId="0" xfId="0" applyFill="1"/>
    <xf numFmtId="0" fontId="14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right" vertical="top"/>
    </xf>
    <xf numFmtId="0" fontId="14" fillId="0" borderId="0" xfId="0" applyFont="1" applyFill="1" applyAlignment="1">
      <alignment horizontal="right" vertical="top"/>
    </xf>
    <xf numFmtId="0" fontId="14" fillId="0" borderId="0" xfId="0" applyFont="1" applyFill="1" applyAlignment="1">
      <alignment horizontal="center" wrapText="1"/>
    </xf>
    <xf numFmtId="167" fontId="25" fillId="0" borderId="0" xfId="0" applyNumberFormat="1" applyFont="1"/>
    <xf numFmtId="167" fontId="26" fillId="0" borderId="0" xfId="0" applyNumberFormat="1" applyFont="1"/>
    <xf numFmtId="167" fontId="27" fillId="0" borderId="0" xfId="0" applyNumberFormat="1" applyFont="1"/>
  </cellXfs>
  <cellStyles count="4">
    <cellStyle name="Hyperlänk" xfId="3" builtinId="8"/>
    <cellStyle name="Normal" xfId="0" builtinId="0"/>
    <cellStyle name="Tusental" xfId="1" builtinId="3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02"/>
  <sheetViews>
    <sheetView tabSelected="1" topLeftCell="A14" zoomScale="80" zoomScaleNormal="80" workbookViewId="0">
      <selection activeCell="G18" sqref="G18:H22"/>
    </sheetView>
  </sheetViews>
  <sheetFormatPr defaultColWidth="8.85546875" defaultRowHeight="13.9" customHeight="1" x14ac:dyDescent="0.25"/>
  <cols>
    <col min="1" max="1" width="13.42578125" style="66" customWidth="1"/>
    <col min="2" max="2" width="26.42578125" style="66" customWidth="1"/>
    <col min="3" max="3" width="11.7109375" style="66" customWidth="1"/>
    <col min="4" max="4" width="10.140625" style="66" customWidth="1"/>
    <col min="5" max="5" width="9.5703125" style="66" bestFit="1" customWidth="1"/>
    <col min="6" max="6" width="11.5703125" style="66" customWidth="1"/>
    <col min="7" max="7" width="9.5703125" style="66" bestFit="1" customWidth="1"/>
    <col min="8" max="8" width="10.28515625" style="66" customWidth="1"/>
    <col min="9" max="13" width="9" style="66" bestFit="1" customWidth="1"/>
    <col min="14" max="14" width="9.28515625" style="67" bestFit="1" customWidth="1"/>
    <col min="15" max="16" width="9" style="66" bestFit="1" customWidth="1"/>
    <col min="17" max="16384" width="8.85546875" style="66"/>
  </cols>
  <sheetData>
    <row r="1" spans="1:16" s="70" customFormat="1" ht="13.9" customHeight="1" x14ac:dyDescent="0.35">
      <c r="A1" s="95" t="s">
        <v>114</v>
      </c>
      <c r="B1" s="95"/>
      <c r="N1" s="76"/>
    </row>
    <row r="5" spans="1:16" ht="13.9" customHeight="1" x14ac:dyDescent="0.25">
      <c r="C5" s="66" t="s">
        <v>115</v>
      </c>
      <c r="F5" s="66" t="s">
        <v>117</v>
      </c>
    </row>
    <row r="6" spans="1:16" ht="13.9" customHeight="1" x14ac:dyDescent="0.25">
      <c r="C6" s="70" t="s">
        <v>56</v>
      </c>
      <c r="D6" s="75" t="s">
        <v>62</v>
      </c>
      <c r="F6" s="71" t="s">
        <v>116</v>
      </c>
      <c r="O6" s="67"/>
      <c r="P6" s="67"/>
    </row>
    <row r="7" spans="1:16" ht="13.9" customHeight="1" x14ac:dyDescent="0.25">
      <c r="A7" s="70" t="s">
        <v>0</v>
      </c>
      <c r="O7" s="67"/>
      <c r="P7" s="67"/>
    </row>
    <row r="8" spans="1:16" ht="13.9" customHeight="1" x14ac:dyDescent="0.25">
      <c r="A8" s="77" t="s">
        <v>1</v>
      </c>
      <c r="J8" s="71"/>
    </row>
    <row r="9" spans="1:16" ht="13.9" customHeight="1" x14ac:dyDescent="0.25">
      <c r="B9" s="66" t="s">
        <v>119</v>
      </c>
      <c r="O9" s="67"/>
      <c r="P9" s="67"/>
    </row>
    <row r="10" spans="1:16" ht="13.9" customHeight="1" x14ac:dyDescent="0.25">
      <c r="B10" s="66" t="s">
        <v>118</v>
      </c>
      <c r="C10" s="66">
        <v>86300</v>
      </c>
      <c r="D10" s="66">
        <v>86300</v>
      </c>
      <c r="F10" s="66">
        <v>90801.47</v>
      </c>
      <c r="P10" s="67"/>
    </row>
    <row r="11" spans="1:16" ht="13.9" customHeight="1" x14ac:dyDescent="0.25">
      <c r="B11" s="66" t="s">
        <v>120</v>
      </c>
      <c r="C11" s="66">
        <v>52151</v>
      </c>
      <c r="D11" s="66">
        <v>52151</v>
      </c>
      <c r="F11" s="68">
        <v>37900</v>
      </c>
      <c r="H11" s="47"/>
      <c r="K11" s="71"/>
      <c r="L11" s="71"/>
      <c r="M11" s="71"/>
      <c r="N11" s="72"/>
      <c r="O11" s="72"/>
      <c r="P11" s="72"/>
    </row>
    <row r="12" spans="1:16" ht="13.9" customHeight="1" x14ac:dyDescent="0.25">
      <c r="A12" s="78"/>
    </row>
    <row r="13" spans="1:16" ht="13.9" customHeight="1" x14ac:dyDescent="0.25">
      <c r="A13" s="78"/>
      <c r="E13" s="69"/>
    </row>
    <row r="14" spans="1:16" ht="13.9" customHeight="1" x14ac:dyDescent="0.25">
      <c r="A14" s="78">
        <v>3900</v>
      </c>
      <c r="B14" s="66" t="s">
        <v>2</v>
      </c>
      <c r="C14" s="66">
        <v>90000</v>
      </c>
      <c r="D14" s="66">
        <v>72900</v>
      </c>
      <c r="F14" s="66">
        <v>75000</v>
      </c>
    </row>
    <row r="15" spans="1:16" ht="13.9" customHeight="1" x14ac:dyDescent="0.25">
      <c r="A15" s="78">
        <v>3989</v>
      </c>
      <c r="B15" s="66" t="s">
        <v>45</v>
      </c>
      <c r="C15" s="66">
        <v>45000</v>
      </c>
      <c r="D15" s="66">
        <v>56060</v>
      </c>
      <c r="F15" s="66">
        <v>12000</v>
      </c>
    </row>
    <row r="16" spans="1:16" ht="13.9" customHeight="1" x14ac:dyDescent="0.25">
      <c r="A16" s="78">
        <v>3990</v>
      </c>
      <c r="B16" s="66" t="s">
        <v>3</v>
      </c>
      <c r="D16" s="66">
        <v>8711</v>
      </c>
      <c r="E16" s="71"/>
      <c r="F16" s="71"/>
      <c r="G16" s="71"/>
      <c r="H16" s="71"/>
      <c r="I16" s="71"/>
    </row>
    <row r="17" spans="1:16" ht="13.9" customHeight="1" x14ac:dyDescent="0.25">
      <c r="A17" s="78"/>
      <c r="B17" s="66" t="s">
        <v>40</v>
      </c>
      <c r="C17" s="66">
        <v>395560</v>
      </c>
      <c r="D17" s="66">
        <v>339806</v>
      </c>
      <c r="F17" s="66">
        <v>207434</v>
      </c>
    </row>
    <row r="18" spans="1:16" ht="13.9" customHeight="1" x14ac:dyDescent="0.25">
      <c r="G18" s="96" t="s">
        <v>124</v>
      </c>
      <c r="H18" s="96">
        <v>63244</v>
      </c>
    </row>
    <row r="19" spans="1:16" ht="13.9" customHeight="1" x14ac:dyDescent="0.25">
      <c r="G19" s="96" t="s">
        <v>126</v>
      </c>
      <c r="H19" s="96">
        <v>93910</v>
      </c>
    </row>
    <row r="20" spans="1:16" ht="13.9" customHeight="1" x14ac:dyDescent="0.25">
      <c r="G20" s="96" t="s">
        <v>127</v>
      </c>
      <c r="H20" s="96">
        <v>36780</v>
      </c>
    </row>
    <row r="21" spans="1:16" ht="13.9" customHeight="1" x14ac:dyDescent="0.25">
      <c r="G21" s="96" t="s">
        <v>125</v>
      </c>
      <c r="H21" s="96">
        <v>13500</v>
      </c>
    </row>
    <row r="22" spans="1:16" ht="13.9" customHeight="1" x14ac:dyDescent="0.25">
      <c r="A22" s="78"/>
      <c r="B22" s="66" t="s">
        <v>92</v>
      </c>
      <c r="D22" s="66">
        <v>19487</v>
      </c>
      <c r="H22" s="66">
        <f>SUM(H18:H21)</f>
        <v>207434</v>
      </c>
    </row>
    <row r="23" spans="1:16" ht="13.9" customHeight="1" x14ac:dyDescent="0.25">
      <c r="A23" s="79" t="s">
        <v>4</v>
      </c>
      <c r="B23" s="70"/>
      <c r="C23" s="66">
        <f>SUM(C14:C22)</f>
        <v>530560</v>
      </c>
      <c r="D23" s="66">
        <f>SUM(D14:D22)</f>
        <v>496964</v>
      </c>
      <c r="F23" s="66">
        <f>SUM(F14:F22)</f>
        <v>294434</v>
      </c>
    </row>
    <row r="25" spans="1:16" ht="13.9" customHeight="1" x14ac:dyDescent="0.25">
      <c r="B25" s="66" t="s">
        <v>123</v>
      </c>
      <c r="C25" s="70">
        <f>SUM(C10:C22)</f>
        <v>669011</v>
      </c>
      <c r="D25" s="71">
        <f>SUM(D10:D22)</f>
        <v>635415</v>
      </c>
      <c r="F25" s="71">
        <f>SUM(F10:F22)</f>
        <v>423135.47</v>
      </c>
    </row>
    <row r="28" spans="1:16" ht="13.9" customHeight="1" x14ac:dyDescent="0.25">
      <c r="A28" s="80" t="s">
        <v>5</v>
      </c>
      <c r="B28" s="87"/>
    </row>
    <row r="29" spans="1:16" ht="13.9" customHeight="1" x14ac:dyDescent="0.25">
      <c r="B29" s="87"/>
    </row>
    <row r="30" spans="1:16" ht="13.9" customHeight="1" x14ac:dyDescent="0.25">
      <c r="B30" s="73" t="s">
        <v>59</v>
      </c>
      <c r="C30" s="73"/>
    </row>
    <row r="31" spans="1:16" ht="13.9" customHeight="1" x14ac:dyDescent="0.25">
      <c r="A31" s="78">
        <v>5010</v>
      </c>
      <c r="B31" s="66" t="s">
        <v>6</v>
      </c>
      <c r="C31" s="66">
        <v>8000</v>
      </c>
      <c r="D31" s="66">
        <v>6950</v>
      </c>
      <c r="F31" s="66">
        <v>5000</v>
      </c>
      <c r="O31" s="67"/>
      <c r="P31" s="67"/>
    </row>
    <row r="32" spans="1:16" ht="13.9" customHeight="1" x14ac:dyDescent="0.25">
      <c r="A32" s="78">
        <v>5700</v>
      </c>
      <c r="B32" s="66" t="s">
        <v>7</v>
      </c>
      <c r="C32" s="66">
        <v>0</v>
      </c>
      <c r="D32" s="66">
        <f>E29+F29+G29+I25+L21+M18+N18+O18+P18+K21+J15+H29</f>
        <v>0</v>
      </c>
    </row>
    <row r="33" spans="1:16" ht="13.9" customHeight="1" x14ac:dyDescent="0.25">
      <c r="A33" s="78"/>
      <c r="B33" s="66" t="s">
        <v>46</v>
      </c>
      <c r="C33" s="66">
        <v>4000</v>
      </c>
      <c r="D33" s="66">
        <v>6250.8</v>
      </c>
      <c r="F33" s="94">
        <v>6250</v>
      </c>
    </row>
    <row r="34" spans="1:16" ht="13.9" customHeight="1" x14ac:dyDescent="0.25">
      <c r="A34" s="78">
        <v>6110</v>
      </c>
      <c r="B34" s="67" t="s">
        <v>74</v>
      </c>
      <c r="C34" s="66">
        <v>1000</v>
      </c>
      <c r="D34" s="66">
        <v>4729.7</v>
      </c>
      <c r="F34" s="66">
        <v>1200</v>
      </c>
      <c r="O34" s="67"/>
      <c r="P34" s="67"/>
    </row>
    <row r="35" spans="1:16" ht="13.9" customHeight="1" x14ac:dyDescent="0.25">
      <c r="A35" s="78"/>
      <c r="B35" s="67" t="s">
        <v>121</v>
      </c>
      <c r="D35" s="66">
        <v>2676.8</v>
      </c>
      <c r="F35" s="66">
        <v>8000</v>
      </c>
      <c r="O35" s="67"/>
      <c r="P35" s="67"/>
    </row>
    <row r="36" spans="1:16" ht="13.9" customHeight="1" x14ac:dyDescent="0.25">
      <c r="A36" s="78">
        <v>5800</v>
      </c>
      <c r="B36" s="66" t="s">
        <v>8</v>
      </c>
      <c r="C36" s="66">
        <v>15000</v>
      </c>
      <c r="D36" s="66">
        <v>8001</v>
      </c>
      <c r="F36" s="66">
        <v>15000</v>
      </c>
      <c r="N36" s="66"/>
      <c r="O36" s="55"/>
    </row>
    <row r="37" spans="1:16" ht="13.9" customHeight="1" x14ac:dyDescent="0.25">
      <c r="A37" s="78"/>
      <c r="B37" s="66" t="s">
        <v>31</v>
      </c>
      <c r="D37" s="66">
        <v>2365</v>
      </c>
      <c r="F37" s="66">
        <v>1000</v>
      </c>
      <c r="N37" s="66"/>
    </row>
    <row r="38" spans="1:16" ht="13.9" customHeight="1" x14ac:dyDescent="0.25">
      <c r="A38" s="78"/>
      <c r="B38" s="81" t="s">
        <v>60</v>
      </c>
      <c r="N38" s="66"/>
    </row>
    <row r="39" spans="1:16" ht="13.9" customHeight="1" x14ac:dyDescent="0.25">
      <c r="A39" s="78"/>
      <c r="B39" s="82" t="s">
        <v>73</v>
      </c>
      <c r="C39" s="66">
        <v>2000</v>
      </c>
      <c r="D39" s="66">
        <v>2675</v>
      </c>
      <c r="F39" s="66">
        <v>0</v>
      </c>
      <c r="N39" s="66"/>
    </row>
    <row r="40" spans="1:16" ht="13.9" customHeight="1" x14ac:dyDescent="0.25">
      <c r="A40" s="78"/>
      <c r="B40" s="66" t="s">
        <v>18</v>
      </c>
      <c r="C40" s="66">
        <v>28000</v>
      </c>
      <c r="D40" s="66">
        <v>1252</v>
      </c>
      <c r="F40" s="94">
        <v>12000</v>
      </c>
      <c r="N40" s="66"/>
    </row>
    <row r="41" spans="1:16" ht="13.9" customHeight="1" x14ac:dyDescent="0.25">
      <c r="A41" s="78">
        <v>5901</v>
      </c>
      <c r="B41" s="66" t="s">
        <v>9</v>
      </c>
      <c r="C41" s="66">
        <v>5000</v>
      </c>
      <c r="D41" s="66">
        <f>E38+F38+G38+I34+L30+M27+N27+O27+P27+K30+J27+H38</f>
        <v>0</v>
      </c>
      <c r="F41" s="94">
        <v>20000</v>
      </c>
      <c r="N41" s="66"/>
    </row>
    <row r="42" spans="1:16" ht="13.9" customHeight="1" x14ac:dyDescent="0.25">
      <c r="A42" s="78">
        <v>5940</v>
      </c>
      <c r="B42" s="66" t="s">
        <v>10</v>
      </c>
      <c r="C42" s="66">
        <v>3000</v>
      </c>
      <c r="D42" s="66">
        <f>E39+F39+G39+I35+L31+M28+N28+O28+P28+K31+J28+H39</f>
        <v>0</v>
      </c>
      <c r="F42" s="94">
        <v>10000</v>
      </c>
      <c r="N42" s="66"/>
    </row>
    <row r="43" spans="1:16" ht="13.9" customHeight="1" x14ac:dyDescent="0.25">
      <c r="A43" s="78">
        <v>6391</v>
      </c>
      <c r="B43" s="66" t="s">
        <v>11</v>
      </c>
      <c r="C43" s="66">
        <v>2000</v>
      </c>
      <c r="N43" s="66"/>
    </row>
    <row r="44" spans="1:16" s="70" customFormat="1" ht="13.9" customHeight="1" x14ac:dyDescent="0.25">
      <c r="A44" s="78"/>
      <c r="B44" s="81" t="s">
        <v>61</v>
      </c>
      <c r="C44" s="66"/>
      <c r="D44" s="66"/>
      <c r="E44" s="66"/>
      <c r="F44" s="66"/>
      <c r="G44" s="66"/>
      <c r="H44" s="66"/>
      <c r="I44" s="66"/>
      <c r="K44" s="66"/>
      <c r="L44" s="66"/>
      <c r="O44" s="88"/>
    </row>
    <row r="45" spans="1:16" s="70" customFormat="1" ht="13.9" customHeight="1" x14ac:dyDescent="0.25">
      <c r="A45" s="78">
        <v>6570</v>
      </c>
      <c r="B45" s="66" t="s">
        <v>12</v>
      </c>
      <c r="C45" s="66">
        <v>1200</v>
      </c>
      <c r="D45" s="66">
        <v>887.5</v>
      </c>
      <c r="E45" s="74"/>
      <c r="F45" s="66">
        <v>1000</v>
      </c>
      <c r="G45" s="66"/>
      <c r="H45" s="66"/>
      <c r="I45" s="66"/>
      <c r="K45" s="66"/>
      <c r="L45" s="66"/>
    </row>
    <row r="46" spans="1:16" s="70" customFormat="1" ht="13.9" customHeight="1" x14ac:dyDescent="0.25">
      <c r="A46" s="78">
        <v>6980</v>
      </c>
      <c r="B46" s="66" t="s">
        <v>13</v>
      </c>
      <c r="C46" s="66">
        <v>2000</v>
      </c>
      <c r="D46" s="66">
        <v>8280</v>
      </c>
      <c r="E46" s="74"/>
      <c r="F46" s="94">
        <v>13500</v>
      </c>
      <c r="G46" s="66"/>
      <c r="H46" s="66"/>
      <c r="I46" s="66"/>
      <c r="J46" s="66"/>
      <c r="K46" s="66"/>
      <c r="L46" s="66"/>
      <c r="N46" s="76"/>
    </row>
    <row r="47" spans="1:16" s="70" customFormat="1" ht="13.9" customHeight="1" x14ac:dyDescent="0.25">
      <c r="A47" s="78">
        <v>6993</v>
      </c>
      <c r="B47" s="66" t="s">
        <v>14</v>
      </c>
      <c r="C47" s="66">
        <v>15000</v>
      </c>
      <c r="D47" s="66">
        <v>6000</v>
      </c>
      <c r="E47" s="66"/>
      <c r="F47" s="94">
        <v>18000</v>
      </c>
      <c r="G47" s="66"/>
      <c r="H47" s="66"/>
      <c r="I47" s="66"/>
      <c r="K47" s="66"/>
      <c r="N47" s="76"/>
    </row>
    <row r="48" spans="1:16" ht="13.9" customHeight="1" x14ac:dyDescent="0.25">
      <c r="A48" s="78">
        <v>6390</v>
      </c>
      <c r="B48" s="66" t="s">
        <v>15</v>
      </c>
      <c r="C48" s="66">
        <v>20000</v>
      </c>
      <c r="D48" s="66">
        <v>9500</v>
      </c>
      <c r="F48" s="66">
        <v>10000</v>
      </c>
      <c r="G48" s="94"/>
      <c r="J48" s="70"/>
      <c r="K48" s="70"/>
      <c r="L48" s="70"/>
    </row>
    <row r="49" spans="1:12" ht="13.9" customHeight="1" x14ac:dyDescent="0.25">
      <c r="A49" s="78"/>
      <c r="B49" s="81" t="s">
        <v>58</v>
      </c>
      <c r="K49" s="70"/>
      <c r="L49" s="70"/>
    </row>
    <row r="50" spans="1:12" ht="13.9" customHeight="1" x14ac:dyDescent="0.25">
      <c r="A50" s="78"/>
      <c r="B50" s="66" t="s">
        <v>20</v>
      </c>
      <c r="C50" s="66">
        <v>153105</v>
      </c>
      <c r="D50" s="66">
        <v>102733.2</v>
      </c>
      <c r="F50" s="66">
        <v>107699</v>
      </c>
      <c r="K50" s="70"/>
      <c r="L50" s="70"/>
    </row>
    <row r="51" spans="1:12" ht="13.9" customHeight="1" x14ac:dyDescent="0.25">
      <c r="A51" s="78"/>
      <c r="B51" s="66" t="s">
        <v>19</v>
      </c>
      <c r="C51" s="66">
        <v>212500</v>
      </c>
      <c r="D51" s="66">
        <v>268092</v>
      </c>
      <c r="F51" s="66">
        <v>44718</v>
      </c>
      <c r="K51" s="70"/>
    </row>
    <row r="52" spans="1:12" ht="13.9" customHeight="1" x14ac:dyDescent="0.25">
      <c r="A52" s="78"/>
      <c r="B52" s="66" t="s">
        <v>21</v>
      </c>
      <c r="C52" s="66">
        <v>29900</v>
      </c>
      <c r="D52" s="66">
        <v>29868</v>
      </c>
      <c r="I52" s="70"/>
    </row>
    <row r="53" spans="1:12" ht="13.9" customHeight="1" x14ac:dyDescent="0.25">
      <c r="B53" s="66" t="s">
        <v>122</v>
      </c>
      <c r="F53" s="66">
        <v>27000</v>
      </c>
      <c r="I53" s="70"/>
    </row>
    <row r="54" spans="1:12" ht="13.9" customHeight="1" x14ac:dyDescent="0.25">
      <c r="A54" s="78"/>
      <c r="B54" s="67" t="s">
        <v>23</v>
      </c>
      <c r="C54" s="66">
        <v>7000</v>
      </c>
      <c r="D54" s="66">
        <v>8891</v>
      </c>
      <c r="F54" s="66">
        <v>9000</v>
      </c>
      <c r="I54" s="70"/>
    </row>
    <row r="55" spans="1:12" ht="13.9" customHeight="1" x14ac:dyDescent="0.25">
      <c r="A55" s="66" t="s">
        <v>22</v>
      </c>
      <c r="C55" s="66">
        <v>11060</v>
      </c>
      <c r="D55" s="66">
        <v>23313</v>
      </c>
      <c r="F55" s="66">
        <v>10000</v>
      </c>
      <c r="I55" s="70"/>
    </row>
    <row r="56" spans="1:12" ht="13.9" customHeight="1" x14ac:dyDescent="0.25">
      <c r="E56" s="70"/>
      <c r="F56" s="70"/>
      <c r="G56" s="70"/>
      <c r="H56" s="70"/>
    </row>
    <row r="57" spans="1:12" ht="13.9" customHeight="1" x14ac:dyDescent="0.25">
      <c r="B57" s="66" t="s">
        <v>57</v>
      </c>
      <c r="C57" s="66">
        <v>76600</v>
      </c>
      <c r="E57" s="70"/>
      <c r="F57" s="69">
        <v>76000</v>
      </c>
      <c r="G57" s="70"/>
      <c r="H57" s="70"/>
    </row>
    <row r="58" spans="1:12" ht="13.9" customHeight="1" x14ac:dyDescent="0.25">
      <c r="E58" s="70"/>
      <c r="F58" s="70"/>
      <c r="G58" s="70"/>
      <c r="H58" s="70"/>
    </row>
    <row r="59" spans="1:12" ht="13.9" customHeight="1" x14ac:dyDescent="0.25">
      <c r="A59" s="79" t="s">
        <v>4</v>
      </c>
      <c r="B59" s="70"/>
      <c r="C59" s="70">
        <f>SUM(C31:C57)</f>
        <v>596365</v>
      </c>
      <c r="D59" s="57">
        <f>SUM(D30:D58)</f>
        <v>492465</v>
      </c>
      <c r="E59" s="70"/>
      <c r="F59" s="70">
        <f>SUM(F31:F58)</f>
        <v>395367</v>
      </c>
      <c r="G59" s="70"/>
      <c r="H59" s="70"/>
    </row>
    <row r="60" spans="1:12" ht="13.9" customHeight="1" x14ac:dyDescent="0.25">
      <c r="A60" s="78"/>
    </row>
    <row r="61" spans="1:12" ht="13.9" customHeight="1" x14ac:dyDescent="0.25">
      <c r="A61" s="78"/>
    </row>
    <row r="62" spans="1:12" ht="13.9" customHeight="1" x14ac:dyDescent="0.25">
      <c r="A62" s="78"/>
    </row>
    <row r="63" spans="1:12" ht="13.9" customHeight="1" x14ac:dyDescent="0.25">
      <c r="A63" s="78"/>
    </row>
    <row r="64" spans="1:12" ht="13.9" customHeight="1" x14ac:dyDescent="0.25">
      <c r="A64" s="78"/>
    </row>
    <row r="65" spans="1:1" ht="13.9" customHeight="1" x14ac:dyDescent="0.25">
      <c r="A65" s="78"/>
    </row>
    <row r="66" spans="1:1" ht="13.9" customHeight="1" x14ac:dyDescent="0.25">
      <c r="A66" s="78"/>
    </row>
    <row r="67" spans="1:1" ht="13.9" customHeight="1" x14ac:dyDescent="0.25">
      <c r="A67" s="78"/>
    </row>
    <row r="68" spans="1:1" ht="13.9" customHeight="1" x14ac:dyDescent="0.25">
      <c r="A68" s="78"/>
    </row>
    <row r="69" spans="1:1" ht="13.9" customHeight="1" x14ac:dyDescent="0.25">
      <c r="A69" s="78"/>
    </row>
    <row r="70" spans="1:1" ht="13.9" customHeight="1" x14ac:dyDescent="0.25">
      <c r="A70" s="78"/>
    </row>
    <row r="71" spans="1:1" ht="13.9" customHeight="1" x14ac:dyDescent="0.25">
      <c r="A71" s="78"/>
    </row>
    <row r="72" spans="1:1" ht="13.9" customHeight="1" x14ac:dyDescent="0.25">
      <c r="A72" s="78"/>
    </row>
    <row r="73" spans="1:1" ht="13.9" customHeight="1" x14ac:dyDescent="0.25">
      <c r="A73" s="78"/>
    </row>
    <row r="74" spans="1:1" ht="13.9" customHeight="1" x14ac:dyDescent="0.25">
      <c r="A74" s="78"/>
    </row>
    <row r="75" spans="1:1" ht="13.9" customHeight="1" x14ac:dyDescent="0.25">
      <c r="A75" s="78"/>
    </row>
    <row r="76" spans="1:1" ht="13.9" customHeight="1" x14ac:dyDescent="0.25">
      <c r="A76" s="78"/>
    </row>
    <row r="77" spans="1:1" ht="13.9" customHeight="1" x14ac:dyDescent="0.25">
      <c r="A77" s="78"/>
    </row>
    <row r="78" spans="1:1" ht="13.9" customHeight="1" x14ac:dyDescent="0.25">
      <c r="A78" s="78"/>
    </row>
    <row r="79" spans="1:1" ht="13.9" customHeight="1" x14ac:dyDescent="0.25">
      <c r="A79" s="78"/>
    </row>
    <row r="80" spans="1:1" ht="13.9" customHeight="1" x14ac:dyDescent="0.25">
      <c r="A80" s="78"/>
    </row>
    <row r="81" spans="1:1" ht="13.9" customHeight="1" x14ac:dyDescent="0.25">
      <c r="A81" s="78"/>
    </row>
    <row r="82" spans="1:1" ht="13.9" customHeight="1" x14ac:dyDescent="0.25">
      <c r="A82" s="78"/>
    </row>
    <row r="83" spans="1:1" ht="13.9" customHeight="1" x14ac:dyDescent="0.25">
      <c r="A83" s="78"/>
    </row>
    <row r="84" spans="1:1" ht="13.9" customHeight="1" x14ac:dyDescent="0.25">
      <c r="A84" s="78"/>
    </row>
    <row r="85" spans="1:1" ht="13.9" customHeight="1" x14ac:dyDescent="0.25">
      <c r="A85" s="78"/>
    </row>
    <row r="86" spans="1:1" ht="13.9" customHeight="1" x14ac:dyDescent="0.25">
      <c r="A86" s="78"/>
    </row>
    <row r="87" spans="1:1" ht="13.9" customHeight="1" x14ac:dyDescent="0.25">
      <c r="A87" s="78"/>
    </row>
    <row r="88" spans="1:1" ht="13.9" customHeight="1" x14ac:dyDescent="0.25">
      <c r="A88" s="78"/>
    </row>
    <row r="89" spans="1:1" ht="13.9" customHeight="1" x14ac:dyDescent="0.25">
      <c r="A89" s="78"/>
    </row>
    <row r="90" spans="1:1" ht="13.9" customHeight="1" x14ac:dyDescent="0.25">
      <c r="A90" s="78"/>
    </row>
    <row r="91" spans="1:1" ht="13.9" customHeight="1" x14ac:dyDescent="0.25">
      <c r="A91" s="78"/>
    </row>
    <row r="92" spans="1:1" ht="13.9" customHeight="1" x14ac:dyDescent="0.25">
      <c r="A92" s="78"/>
    </row>
    <row r="93" spans="1:1" ht="13.9" customHeight="1" x14ac:dyDescent="0.25">
      <c r="A93" s="78"/>
    </row>
    <row r="94" spans="1:1" ht="13.9" customHeight="1" x14ac:dyDescent="0.25">
      <c r="A94" s="78"/>
    </row>
    <row r="95" spans="1:1" ht="13.9" customHeight="1" x14ac:dyDescent="0.25">
      <c r="A95" s="78"/>
    </row>
    <row r="96" spans="1:1" ht="13.9" customHeight="1" x14ac:dyDescent="0.25">
      <c r="A96" s="78"/>
    </row>
    <row r="97" spans="1:1" ht="13.9" customHeight="1" x14ac:dyDescent="0.25">
      <c r="A97" s="78"/>
    </row>
    <row r="98" spans="1:1" ht="13.9" customHeight="1" x14ac:dyDescent="0.25">
      <c r="A98" s="78"/>
    </row>
    <row r="99" spans="1:1" ht="13.9" customHeight="1" x14ac:dyDescent="0.25">
      <c r="A99" s="78"/>
    </row>
    <row r="100" spans="1:1" ht="13.9" customHeight="1" x14ac:dyDescent="0.25">
      <c r="A100" s="78"/>
    </row>
    <row r="101" spans="1:1" ht="13.9" customHeight="1" x14ac:dyDescent="0.25">
      <c r="A101" s="78"/>
    </row>
    <row r="102" spans="1:1" ht="13.9" customHeight="1" x14ac:dyDescent="0.25">
      <c r="A102" s="78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portrait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C19" sqref="C19"/>
    </sheetView>
  </sheetViews>
  <sheetFormatPr defaultRowHeight="15" x14ac:dyDescent="0.25"/>
  <cols>
    <col min="1" max="1" width="14.42578125" customWidth="1"/>
    <col min="2" max="2" width="15.140625" customWidth="1"/>
    <col min="3" max="3" width="22.140625" customWidth="1"/>
    <col min="8" max="8" width="13.140625" customWidth="1"/>
    <col min="9" max="9" width="20.140625" customWidth="1"/>
  </cols>
  <sheetData>
    <row r="1" spans="1:9" ht="20.25" x14ac:dyDescent="0.3">
      <c r="A1" s="18" t="s">
        <v>67</v>
      </c>
      <c r="B1" s="48"/>
      <c r="C1" s="48"/>
      <c r="G1" s="49"/>
      <c r="H1" s="50"/>
      <c r="I1" s="51"/>
    </row>
    <row r="2" spans="1:9" ht="15.75" x14ac:dyDescent="0.25">
      <c r="A2" s="19" t="s">
        <v>29</v>
      </c>
      <c r="B2" s="48"/>
      <c r="C2" s="48"/>
      <c r="G2" s="49"/>
      <c r="H2" s="50"/>
      <c r="I2" s="51"/>
    </row>
    <row r="3" spans="1:9" x14ac:dyDescent="0.25">
      <c r="A3" s="48" t="s">
        <v>2</v>
      </c>
      <c r="B3" s="48"/>
      <c r="C3" s="20">
        <f>2000+1200+1500+600+500</f>
        <v>5800</v>
      </c>
      <c r="G3" s="49"/>
      <c r="H3" s="50"/>
      <c r="I3" s="51"/>
    </row>
    <row r="4" spans="1:9" x14ac:dyDescent="0.25">
      <c r="A4" s="48" t="s">
        <v>40</v>
      </c>
      <c r="B4" s="48"/>
      <c r="C4" s="3">
        <f>11391+18466</f>
        <v>29857</v>
      </c>
      <c r="D4" s="48" t="s">
        <v>70</v>
      </c>
      <c r="G4" s="49"/>
      <c r="H4" s="50"/>
      <c r="I4" s="51"/>
    </row>
    <row r="5" spans="1:9" x14ac:dyDescent="0.25">
      <c r="A5" s="48" t="s">
        <v>39</v>
      </c>
      <c r="B5" s="48"/>
      <c r="C5" s="3">
        <f>1000+1000+5000</f>
        <v>7000</v>
      </c>
      <c r="G5" s="49"/>
      <c r="H5" s="50"/>
      <c r="I5" s="51"/>
    </row>
    <row r="6" spans="1:9" ht="16.5" thickBot="1" x14ac:dyDescent="0.3">
      <c r="A6" s="4" t="s">
        <v>24</v>
      </c>
      <c r="B6" s="4"/>
      <c r="C6" s="5">
        <f>SUM(C3:C5)</f>
        <v>42657</v>
      </c>
      <c r="G6" s="62"/>
      <c r="H6" s="63"/>
      <c r="I6" s="64"/>
    </row>
    <row r="7" spans="1:9" ht="15.75" x14ac:dyDescent="0.25">
      <c r="A7" s="48"/>
      <c r="B7" s="48"/>
      <c r="C7" s="3"/>
      <c r="G7" s="62"/>
      <c r="H7" s="63"/>
      <c r="I7" s="64"/>
    </row>
    <row r="8" spans="1:9" ht="15.75" x14ac:dyDescent="0.25">
      <c r="A8" s="48"/>
      <c r="B8" s="48"/>
      <c r="C8" s="3"/>
      <c r="G8" s="62"/>
      <c r="H8" s="63"/>
      <c r="I8" s="64"/>
    </row>
    <row r="9" spans="1:9" ht="15.75" x14ac:dyDescent="0.25">
      <c r="A9" s="13" t="s">
        <v>28</v>
      </c>
      <c r="B9" s="48"/>
      <c r="C9" s="3"/>
      <c r="G9" s="62"/>
      <c r="H9" s="63"/>
      <c r="I9" s="64"/>
    </row>
    <row r="10" spans="1:9" ht="15.75" x14ac:dyDescent="0.25">
      <c r="A10" s="6" t="s">
        <v>31</v>
      </c>
      <c r="B10" s="7"/>
      <c r="C10" s="3"/>
      <c r="G10" s="62"/>
      <c r="H10" s="63"/>
      <c r="I10" s="64"/>
    </row>
    <row r="11" spans="1:9" ht="15.75" x14ac:dyDescent="0.25">
      <c r="A11" s="8" t="s">
        <v>33</v>
      </c>
      <c r="B11" s="48"/>
      <c r="C11" s="9">
        <f>500+630+2575+999</f>
        <v>4704</v>
      </c>
      <c r="G11" s="62"/>
      <c r="H11" s="63"/>
      <c r="I11" s="65"/>
    </row>
    <row r="12" spans="1:9" s="48" customFormat="1" ht="15.75" x14ac:dyDescent="0.25">
      <c r="A12" s="8" t="s">
        <v>77</v>
      </c>
      <c r="C12" s="9">
        <v>3000</v>
      </c>
      <c r="G12" s="62"/>
      <c r="H12" s="63"/>
      <c r="I12" s="65"/>
    </row>
    <row r="13" spans="1:9" ht="15.75" x14ac:dyDescent="0.25">
      <c r="A13" s="6" t="s">
        <v>34</v>
      </c>
      <c r="B13" s="48"/>
      <c r="C13" s="9"/>
      <c r="G13" s="62"/>
      <c r="H13" s="63"/>
      <c r="I13" s="64"/>
    </row>
    <row r="14" spans="1:9" ht="15.75" x14ac:dyDescent="0.25">
      <c r="A14" s="8" t="s">
        <v>12</v>
      </c>
      <c r="B14" s="48"/>
      <c r="C14" s="9">
        <f>1.5</f>
        <v>1.5</v>
      </c>
      <c r="G14" s="62"/>
      <c r="H14" s="63"/>
      <c r="I14" s="64"/>
    </row>
    <row r="15" spans="1:9" ht="15.75" x14ac:dyDescent="0.25">
      <c r="A15" s="8" t="s">
        <v>35</v>
      </c>
      <c r="B15" s="48"/>
      <c r="C15" s="9">
        <v>559</v>
      </c>
      <c r="G15" s="62"/>
      <c r="H15" s="63"/>
      <c r="I15" s="64"/>
    </row>
    <row r="16" spans="1:9" s="48" customFormat="1" ht="15.75" x14ac:dyDescent="0.25">
      <c r="A16" s="8" t="s">
        <v>72</v>
      </c>
      <c r="C16" s="9">
        <v>1000</v>
      </c>
      <c r="G16" s="62"/>
      <c r="H16" s="63"/>
      <c r="I16" s="64"/>
    </row>
    <row r="17" spans="1:9" ht="15.75" x14ac:dyDescent="0.25">
      <c r="A17" s="6" t="s">
        <v>36</v>
      </c>
      <c r="B17" s="48"/>
      <c r="C17" s="9"/>
      <c r="G17" s="62"/>
      <c r="H17" s="63"/>
      <c r="I17" s="64"/>
    </row>
    <row r="18" spans="1:9" ht="15.75" x14ac:dyDescent="0.25">
      <c r="A18" s="8" t="s">
        <v>25</v>
      </c>
      <c r="B18" s="48"/>
      <c r="C18" s="9">
        <v>7797</v>
      </c>
      <c r="G18" s="62"/>
      <c r="H18" s="63"/>
      <c r="I18" s="54"/>
    </row>
    <row r="19" spans="1:9" ht="15.75" x14ac:dyDescent="0.25">
      <c r="A19" s="8" t="s">
        <v>26</v>
      </c>
      <c r="B19" s="48"/>
      <c r="C19" s="9">
        <v>13459</v>
      </c>
      <c r="G19" s="62"/>
      <c r="H19" s="63"/>
      <c r="I19" s="64"/>
    </row>
    <row r="20" spans="1:9" x14ac:dyDescent="0.25">
      <c r="A20" s="8" t="s">
        <v>71</v>
      </c>
      <c r="B20" s="48"/>
      <c r="C20" s="9">
        <f>360+4270</f>
        <v>4630</v>
      </c>
    </row>
    <row r="21" spans="1:9" x14ac:dyDescent="0.25">
      <c r="A21" s="8" t="s">
        <v>41</v>
      </c>
      <c r="B21" s="48"/>
      <c r="C21" s="9">
        <v>12913</v>
      </c>
    </row>
    <row r="22" spans="1:9" ht="15.75" thickBot="1" x14ac:dyDescent="0.3">
      <c r="A22" s="4" t="s">
        <v>24</v>
      </c>
      <c r="B22" s="10"/>
      <c r="C22" s="5">
        <f>SUM(C11:C21)</f>
        <v>48063.5</v>
      </c>
    </row>
    <row r="23" spans="1:9" x14ac:dyDescent="0.25">
      <c r="A23" s="48"/>
      <c r="B23" s="48"/>
      <c r="C23" s="48"/>
    </row>
    <row r="24" spans="1:9" ht="15.75" x14ac:dyDescent="0.25">
      <c r="A24" s="13" t="s">
        <v>68</v>
      </c>
      <c r="B24" s="48"/>
      <c r="C24" s="11">
        <f>C6-C22</f>
        <v>-5406.5</v>
      </c>
    </row>
    <row r="25" spans="1:9" x14ac:dyDescent="0.25">
      <c r="A25" s="48"/>
      <c r="B25" s="48"/>
      <c r="C25" s="48"/>
    </row>
    <row r="26" spans="1:9" x14ac:dyDescent="0.25">
      <c r="A26" s="48"/>
      <c r="B26" s="48"/>
      <c r="C26" s="48"/>
    </row>
    <row r="27" spans="1:9" x14ac:dyDescent="0.25">
      <c r="A27" s="6" t="s">
        <v>69</v>
      </c>
      <c r="B27" s="48"/>
      <c r="C27" s="48"/>
    </row>
    <row r="28" spans="1:9" x14ac:dyDescent="0.25">
      <c r="A28" s="2">
        <v>41365</v>
      </c>
      <c r="B28" s="48"/>
      <c r="C28" s="24">
        <v>146550.49</v>
      </c>
    </row>
    <row r="29" spans="1:9" x14ac:dyDescent="0.25">
      <c r="A29" s="28">
        <v>41394</v>
      </c>
      <c r="B29" s="16"/>
      <c r="C29" s="17">
        <f>C28+C24</f>
        <v>141143.99</v>
      </c>
    </row>
    <row r="30" spans="1:9" x14ac:dyDescent="0.25">
      <c r="A30" s="12" t="s">
        <v>24</v>
      </c>
      <c r="B30" s="48"/>
      <c r="C30" s="15">
        <f>C29-C28</f>
        <v>-5406.5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workbookViewId="0"/>
  </sheetViews>
  <sheetFormatPr defaultColWidth="8.85546875" defaultRowHeight="15" x14ac:dyDescent="0.25"/>
  <cols>
    <col min="1" max="1" width="12.7109375" style="48" customWidth="1"/>
    <col min="2" max="2" width="15.28515625" style="48" customWidth="1"/>
    <col min="3" max="3" width="15.7109375" style="48" customWidth="1"/>
    <col min="4" max="4" width="15.5703125" style="48" customWidth="1"/>
    <col min="5" max="6" width="8.85546875" style="48"/>
    <col min="7" max="7" width="20.7109375" style="48" customWidth="1"/>
    <col min="8" max="8" width="14.7109375" style="48" customWidth="1"/>
    <col min="9" max="9" width="24.5703125" style="48" customWidth="1"/>
    <col min="10" max="10" width="12" style="48" customWidth="1"/>
    <col min="11" max="16384" width="8.85546875" style="48"/>
  </cols>
  <sheetData>
    <row r="1" spans="1:10" ht="20.25" x14ac:dyDescent="0.3">
      <c r="A1" s="18" t="s">
        <v>83</v>
      </c>
      <c r="F1" s="50"/>
      <c r="G1" s="52"/>
      <c r="H1" s="50"/>
      <c r="I1" s="52"/>
    </row>
    <row r="2" spans="1:10" ht="15.75" x14ac:dyDescent="0.25">
      <c r="A2" s="19" t="s">
        <v>29</v>
      </c>
      <c r="F2" s="50"/>
      <c r="G2" s="52"/>
      <c r="H2" s="50"/>
      <c r="I2" s="51"/>
    </row>
    <row r="3" spans="1:10" x14ac:dyDescent="0.25">
      <c r="A3" s="48" t="s">
        <v>2</v>
      </c>
      <c r="C3" s="20">
        <v>15700</v>
      </c>
      <c r="F3" s="50"/>
      <c r="G3" s="52"/>
      <c r="H3" s="50"/>
      <c r="I3" s="52"/>
    </row>
    <row r="4" spans="1:10" x14ac:dyDescent="0.25">
      <c r="A4" s="48" t="s">
        <v>40</v>
      </c>
      <c r="C4" s="3">
        <v>2670</v>
      </c>
      <c r="D4" s="49" t="s">
        <v>66</v>
      </c>
      <c r="E4" s="50"/>
      <c r="F4" s="51"/>
      <c r="G4" s="52"/>
      <c r="H4" s="50"/>
      <c r="I4" s="51"/>
    </row>
    <row r="5" spans="1:10" x14ac:dyDescent="0.25">
      <c r="A5" s="48" t="s">
        <v>39</v>
      </c>
      <c r="C5" s="3"/>
      <c r="F5" s="50"/>
      <c r="G5" s="52"/>
      <c r="H5" s="50"/>
      <c r="I5" s="51"/>
    </row>
    <row r="6" spans="1:10" x14ac:dyDescent="0.25">
      <c r="A6" s="48" t="s">
        <v>78</v>
      </c>
      <c r="C6" s="3">
        <v>1240</v>
      </c>
      <c r="F6" s="50"/>
      <c r="G6" s="52"/>
      <c r="H6" s="50"/>
      <c r="I6" s="51"/>
    </row>
    <row r="7" spans="1:10" x14ac:dyDescent="0.25">
      <c r="A7" s="48" t="s">
        <v>76</v>
      </c>
      <c r="C7" s="3">
        <v>3000</v>
      </c>
      <c r="F7" s="50"/>
      <c r="G7" s="52"/>
      <c r="H7" s="50"/>
      <c r="I7" s="51"/>
    </row>
    <row r="8" spans="1:10" ht="15.75" thickBot="1" x14ac:dyDescent="0.3">
      <c r="A8" s="4" t="s">
        <v>24</v>
      </c>
      <c r="B8" s="4"/>
      <c r="C8" s="5">
        <f>SUM(C3:C7)</f>
        <v>22610</v>
      </c>
      <c r="F8" s="50"/>
      <c r="G8" s="52"/>
      <c r="H8" s="59"/>
      <c r="I8" s="60"/>
    </row>
    <row r="9" spans="1:10" x14ac:dyDescent="0.25">
      <c r="C9" s="3"/>
      <c r="F9" s="50"/>
      <c r="G9" s="52"/>
      <c r="H9" s="59"/>
      <c r="I9" s="60"/>
    </row>
    <row r="10" spans="1:10" x14ac:dyDescent="0.25">
      <c r="C10" s="3"/>
      <c r="F10" s="50"/>
      <c r="G10" s="52"/>
      <c r="H10" s="59"/>
      <c r="I10" s="60"/>
    </row>
    <row r="11" spans="1:10" ht="15.75" x14ac:dyDescent="0.25">
      <c r="A11" s="13" t="s">
        <v>28</v>
      </c>
      <c r="C11" s="3"/>
      <c r="F11" s="50"/>
      <c r="G11" s="52"/>
      <c r="H11" s="61"/>
      <c r="I11" s="50"/>
      <c r="J11" s="51"/>
    </row>
    <row r="12" spans="1:10" x14ac:dyDescent="0.25">
      <c r="A12" s="6" t="s">
        <v>31</v>
      </c>
      <c r="B12" s="7"/>
      <c r="C12" s="3"/>
      <c r="F12" s="50"/>
      <c r="G12" s="52"/>
      <c r="H12" s="59"/>
      <c r="I12" s="50"/>
      <c r="J12" s="52"/>
    </row>
    <row r="13" spans="1:10" x14ac:dyDescent="0.25">
      <c r="A13" s="8" t="s">
        <v>32</v>
      </c>
      <c r="C13" s="9"/>
      <c r="F13" s="50"/>
      <c r="G13" s="52"/>
      <c r="H13" s="50"/>
      <c r="I13" s="50"/>
      <c r="J13" s="51"/>
    </row>
    <row r="14" spans="1:10" x14ac:dyDescent="0.25">
      <c r="A14" s="8" t="s">
        <v>33</v>
      </c>
      <c r="C14" s="9"/>
      <c r="F14" s="50"/>
      <c r="G14" s="52"/>
      <c r="H14" s="50"/>
      <c r="I14" s="50"/>
      <c r="J14" s="51"/>
    </row>
    <row r="15" spans="1:10" x14ac:dyDescent="0.25">
      <c r="A15" s="6" t="s">
        <v>34</v>
      </c>
      <c r="C15" s="9"/>
      <c r="F15" s="50"/>
      <c r="G15" s="52"/>
      <c r="H15" s="50"/>
      <c r="I15" s="59"/>
      <c r="J15" s="60"/>
    </row>
    <row r="16" spans="1:10" x14ac:dyDescent="0.25">
      <c r="A16" s="8" t="s">
        <v>12</v>
      </c>
      <c r="C16" s="9">
        <v>4.5</v>
      </c>
      <c r="F16" s="50"/>
      <c r="G16" s="52"/>
      <c r="H16" s="50"/>
      <c r="I16" s="59"/>
      <c r="J16" s="60"/>
    </row>
    <row r="17" spans="1:10" x14ac:dyDescent="0.25">
      <c r="A17" s="8" t="s">
        <v>35</v>
      </c>
      <c r="C17" s="9">
        <v>878</v>
      </c>
      <c r="F17" s="50"/>
      <c r="G17" s="52"/>
      <c r="H17" s="50"/>
      <c r="I17" s="59"/>
      <c r="J17" s="60"/>
    </row>
    <row r="18" spans="1:10" x14ac:dyDescent="0.25">
      <c r="A18" s="8" t="s">
        <v>42</v>
      </c>
      <c r="C18" s="9"/>
      <c r="F18" s="50"/>
      <c r="G18" s="52"/>
      <c r="H18" s="50"/>
      <c r="I18" s="59"/>
      <c r="J18" s="60"/>
    </row>
    <row r="19" spans="1:10" x14ac:dyDescent="0.25">
      <c r="A19" s="8" t="s">
        <v>64</v>
      </c>
      <c r="C19" s="9">
        <v>4375</v>
      </c>
      <c r="F19" s="50"/>
      <c r="G19" s="52"/>
      <c r="H19" s="50"/>
      <c r="I19" s="61"/>
      <c r="J19" s="60"/>
    </row>
    <row r="20" spans="1:10" x14ac:dyDescent="0.25">
      <c r="A20" s="8" t="s">
        <v>65</v>
      </c>
      <c r="C20" s="9">
        <v>2000</v>
      </c>
      <c r="F20" s="50"/>
      <c r="G20" s="52"/>
      <c r="H20" s="50"/>
      <c r="I20" s="52"/>
    </row>
    <row r="21" spans="1:10" x14ac:dyDescent="0.25">
      <c r="A21" s="6" t="s">
        <v>36</v>
      </c>
      <c r="C21" s="9"/>
      <c r="F21" s="50"/>
      <c r="G21" s="51"/>
      <c r="H21" s="50"/>
      <c r="I21" s="52"/>
    </row>
    <row r="22" spans="1:10" x14ac:dyDescent="0.25">
      <c r="A22" s="8" t="s">
        <v>25</v>
      </c>
      <c r="C22" s="9">
        <v>7789</v>
      </c>
      <c r="F22" s="50"/>
      <c r="G22" s="52"/>
      <c r="H22" s="50"/>
      <c r="I22" s="52"/>
    </row>
    <row r="23" spans="1:10" x14ac:dyDescent="0.25">
      <c r="A23" s="8" t="s">
        <v>26</v>
      </c>
      <c r="C23" s="9">
        <v>13443</v>
      </c>
      <c r="F23" s="50"/>
      <c r="G23" s="52"/>
      <c r="H23" s="50"/>
      <c r="I23" s="51"/>
    </row>
    <row r="24" spans="1:10" x14ac:dyDescent="0.25">
      <c r="A24" s="8" t="s">
        <v>37</v>
      </c>
      <c r="C24" s="9"/>
      <c r="F24" s="50"/>
      <c r="G24" s="52"/>
      <c r="H24" s="50"/>
      <c r="I24" s="52"/>
    </row>
    <row r="25" spans="1:10" x14ac:dyDescent="0.25">
      <c r="A25" s="8" t="s">
        <v>41</v>
      </c>
      <c r="C25" s="9">
        <v>12937</v>
      </c>
      <c r="F25" s="50"/>
      <c r="G25" s="52"/>
      <c r="H25" s="50"/>
      <c r="I25" s="52"/>
    </row>
    <row r="26" spans="1:10" ht="15.75" thickBot="1" x14ac:dyDescent="0.3">
      <c r="A26" s="4" t="s">
        <v>24</v>
      </c>
      <c r="B26" s="10"/>
      <c r="C26" s="5">
        <f>SUM(C13:C25)</f>
        <v>41426.5</v>
      </c>
      <c r="F26" s="50"/>
      <c r="G26" s="52"/>
      <c r="H26" s="50"/>
      <c r="I26" s="52"/>
    </row>
    <row r="27" spans="1:10" x14ac:dyDescent="0.25">
      <c r="F27" s="50"/>
      <c r="G27" s="52"/>
      <c r="H27" s="50"/>
      <c r="I27" s="52"/>
    </row>
    <row r="28" spans="1:10" ht="15.75" x14ac:dyDescent="0.25">
      <c r="A28" s="13" t="s">
        <v>50</v>
      </c>
      <c r="C28" s="11">
        <f>C8-C26</f>
        <v>-18816.5</v>
      </c>
      <c r="F28" s="50"/>
      <c r="G28" s="52"/>
      <c r="H28" s="50"/>
      <c r="I28" s="52"/>
    </row>
    <row r="29" spans="1:10" x14ac:dyDescent="0.25">
      <c r="E29" s="54"/>
      <c r="F29" s="50"/>
      <c r="G29" s="52"/>
      <c r="H29" s="50"/>
      <c r="I29" s="52"/>
    </row>
    <row r="30" spans="1:10" x14ac:dyDescent="0.25">
      <c r="F30" s="50"/>
      <c r="G30" s="52"/>
      <c r="H30" s="50"/>
      <c r="I30" s="52"/>
    </row>
    <row r="31" spans="1:10" x14ac:dyDescent="0.25">
      <c r="A31" s="6" t="s">
        <v>44</v>
      </c>
      <c r="F31" s="50"/>
      <c r="G31" s="52"/>
      <c r="H31" s="50"/>
      <c r="I31" s="52"/>
    </row>
    <row r="32" spans="1:10" x14ac:dyDescent="0.25">
      <c r="A32" s="2">
        <v>41334</v>
      </c>
      <c r="C32" s="24">
        <v>165366.99</v>
      </c>
      <c r="F32" s="50"/>
      <c r="G32" s="52"/>
      <c r="H32" s="50"/>
      <c r="I32" s="52"/>
    </row>
    <row r="33" spans="1:9" x14ac:dyDescent="0.25">
      <c r="A33" s="28">
        <v>41364</v>
      </c>
      <c r="B33" s="16"/>
      <c r="C33" s="17">
        <v>146550.49</v>
      </c>
      <c r="F33" s="50"/>
      <c r="G33" s="52"/>
      <c r="H33" s="50"/>
      <c r="I33" s="52"/>
    </row>
    <row r="34" spans="1:9" x14ac:dyDescent="0.25">
      <c r="A34" s="12" t="s">
        <v>24</v>
      </c>
      <c r="C34" s="15">
        <f>C33-C32</f>
        <v>-18816.5</v>
      </c>
      <c r="F34" s="50"/>
      <c r="G34" s="52"/>
      <c r="H34" s="50"/>
      <c r="I34" s="52"/>
    </row>
    <row r="35" spans="1:9" x14ac:dyDescent="0.25">
      <c r="F35" s="50"/>
      <c r="G35" s="52"/>
      <c r="H35" s="50"/>
      <c r="I35" s="52"/>
    </row>
    <row r="36" spans="1:9" x14ac:dyDescent="0.25">
      <c r="F36" s="50"/>
      <c r="G36" s="52"/>
      <c r="H36" s="50"/>
      <c r="I36" s="52"/>
    </row>
    <row r="37" spans="1:9" x14ac:dyDescent="0.25">
      <c r="H37" s="50"/>
      <c r="I37" s="52"/>
    </row>
    <row r="38" spans="1:9" x14ac:dyDescent="0.25">
      <c r="F38" s="50"/>
      <c r="G38" s="51"/>
    </row>
    <row r="39" spans="1:9" x14ac:dyDescent="0.25">
      <c r="F39" s="50"/>
      <c r="G39" s="51"/>
      <c r="H39" s="50"/>
      <c r="I39" s="51"/>
    </row>
    <row r="40" spans="1:9" x14ac:dyDescent="0.25">
      <c r="F40" s="50"/>
      <c r="G40" s="51"/>
      <c r="H40" s="50"/>
      <c r="I40" s="51"/>
    </row>
    <row r="41" spans="1:9" x14ac:dyDescent="0.25">
      <c r="F41" s="50"/>
      <c r="G41" s="52"/>
      <c r="H41" s="50"/>
      <c r="I41" s="51"/>
    </row>
    <row r="42" spans="1:9" x14ac:dyDescent="0.25">
      <c r="F42" s="50"/>
      <c r="G42" s="52"/>
      <c r="H42" s="50"/>
      <c r="I42" s="52"/>
    </row>
    <row r="43" spans="1:9" x14ac:dyDescent="0.25">
      <c r="F43" s="50"/>
      <c r="G43" s="52"/>
      <c r="H43" s="50"/>
      <c r="I43" s="52"/>
    </row>
    <row r="44" spans="1:9" x14ac:dyDescent="0.25">
      <c r="F44" s="50"/>
      <c r="G44" s="52"/>
      <c r="H44" s="50"/>
      <c r="I44" s="52"/>
    </row>
    <row r="45" spans="1:9" x14ac:dyDescent="0.25">
      <c r="F45" s="50"/>
      <c r="G45" s="52"/>
      <c r="H45" s="50"/>
      <c r="I45" s="52"/>
    </row>
    <row r="46" spans="1:9" x14ac:dyDescent="0.25">
      <c r="F46" s="50"/>
      <c r="G46" s="52"/>
      <c r="H46" s="50"/>
      <c r="I46" s="52"/>
    </row>
    <row r="47" spans="1:9" x14ac:dyDescent="0.25">
      <c r="F47" s="50"/>
      <c r="G47" s="52"/>
      <c r="H47" s="50"/>
      <c r="I47" s="52"/>
    </row>
    <row r="48" spans="1:9" x14ac:dyDescent="0.25">
      <c r="F48" s="50"/>
      <c r="G48" s="52"/>
      <c r="H48" s="50"/>
      <c r="I48" s="52"/>
    </row>
    <row r="49" spans="6:9" x14ac:dyDescent="0.25">
      <c r="F49" s="50"/>
      <c r="G49" s="52"/>
      <c r="H49" s="50"/>
      <c r="I49" s="52"/>
    </row>
    <row r="50" spans="6:9" x14ac:dyDescent="0.25">
      <c r="F50" s="50"/>
      <c r="G50" s="52"/>
      <c r="H50" s="50"/>
      <c r="I50" s="52"/>
    </row>
    <row r="51" spans="6:9" x14ac:dyDescent="0.25">
      <c r="H51" s="50"/>
      <c r="I51" s="52"/>
    </row>
    <row r="52" spans="6:9" x14ac:dyDescent="0.25">
      <c r="F52" s="50"/>
      <c r="G52" s="52"/>
    </row>
    <row r="53" spans="6:9" x14ac:dyDescent="0.25">
      <c r="F53" s="50"/>
      <c r="G53" s="52"/>
      <c r="H53" s="50"/>
      <c r="I53" s="52"/>
    </row>
    <row r="54" spans="6:9" x14ac:dyDescent="0.25">
      <c r="F54" s="50"/>
      <c r="G54" s="52"/>
      <c r="H54" s="50"/>
      <c r="I54" s="52"/>
    </row>
    <row r="55" spans="6:9" x14ac:dyDescent="0.25">
      <c r="F55" s="50"/>
      <c r="G55" s="52"/>
      <c r="H55" s="50"/>
      <c r="I55" s="52"/>
    </row>
    <row r="56" spans="6:9" x14ac:dyDescent="0.25">
      <c r="F56" s="50"/>
      <c r="G56" s="52"/>
      <c r="H56" s="50"/>
      <c r="I56" s="52"/>
    </row>
    <row r="57" spans="6:9" x14ac:dyDescent="0.25">
      <c r="F57" s="50"/>
      <c r="G57" s="52"/>
      <c r="H57" s="50"/>
      <c r="I57" s="52"/>
    </row>
    <row r="58" spans="6:9" x14ac:dyDescent="0.25">
      <c r="F58" s="50"/>
      <c r="G58" s="52"/>
      <c r="H58" s="50"/>
      <c r="I58" s="52"/>
    </row>
    <row r="59" spans="6:9" x14ac:dyDescent="0.25">
      <c r="F59" s="50"/>
      <c r="G59" s="52"/>
      <c r="H59" s="50"/>
      <c r="I59" s="52"/>
    </row>
    <row r="60" spans="6:9" x14ac:dyDescent="0.25">
      <c r="F60" s="50"/>
      <c r="G60" s="52"/>
      <c r="H60" s="50"/>
      <c r="I60" s="52"/>
    </row>
    <row r="61" spans="6:9" x14ac:dyDescent="0.25">
      <c r="F61" s="50"/>
      <c r="G61" s="52"/>
      <c r="H61" s="50"/>
      <c r="I61" s="52"/>
    </row>
    <row r="62" spans="6:9" x14ac:dyDescent="0.25">
      <c r="F62" s="50"/>
      <c r="G62" s="52"/>
      <c r="H62" s="50"/>
      <c r="I62" s="52"/>
    </row>
    <row r="63" spans="6:9" x14ac:dyDescent="0.25">
      <c r="F63" s="50"/>
      <c r="G63" s="52"/>
      <c r="H63" s="50"/>
      <c r="I63" s="52"/>
    </row>
    <row r="64" spans="6:9" x14ac:dyDescent="0.25">
      <c r="F64" s="50"/>
      <c r="G64" s="52"/>
      <c r="H64" s="50"/>
      <c r="I64" s="52"/>
    </row>
    <row r="65" spans="6:9" x14ac:dyDescent="0.25">
      <c r="F65" s="50"/>
      <c r="G65" s="52"/>
      <c r="H65" s="50"/>
      <c r="I65" s="52"/>
    </row>
    <row r="66" spans="6:9" x14ac:dyDescent="0.25">
      <c r="F66" s="50"/>
      <c r="G66" s="52"/>
      <c r="H66" s="50"/>
      <c r="I66" s="52"/>
    </row>
    <row r="67" spans="6:9" x14ac:dyDescent="0.25">
      <c r="F67" s="50"/>
      <c r="G67" s="52"/>
      <c r="H67" s="50"/>
      <c r="I67" s="52"/>
    </row>
    <row r="68" spans="6:9" x14ac:dyDescent="0.25">
      <c r="F68" s="50"/>
      <c r="G68" s="52"/>
      <c r="H68" s="50"/>
      <c r="I68" s="52"/>
    </row>
    <row r="69" spans="6:9" x14ac:dyDescent="0.25">
      <c r="F69" s="50"/>
      <c r="G69" s="52"/>
      <c r="H69" s="50"/>
      <c r="I69" s="52"/>
    </row>
    <row r="70" spans="6:9" x14ac:dyDescent="0.25">
      <c r="H70" s="50"/>
      <c r="I70" s="52"/>
    </row>
    <row r="72" spans="6:9" x14ac:dyDescent="0.25">
      <c r="F72" s="50"/>
      <c r="G72" s="52"/>
    </row>
    <row r="73" spans="6:9" x14ac:dyDescent="0.25">
      <c r="F73" s="59"/>
      <c r="G73" s="60"/>
      <c r="H73" s="50"/>
      <c r="I73" s="52"/>
    </row>
    <row r="74" spans="6:9" x14ac:dyDescent="0.25">
      <c r="F74" s="59"/>
      <c r="G74" s="60"/>
      <c r="H74" s="59"/>
      <c r="I74" s="60"/>
    </row>
    <row r="75" spans="6:9" x14ac:dyDescent="0.25">
      <c r="F75" s="59"/>
      <c r="G75" s="60"/>
      <c r="H75" s="59"/>
      <c r="I75" s="60"/>
    </row>
    <row r="76" spans="6:9" x14ac:dyDescent="0.25">
      <c r="F76" s="59"/>
      <c r="G76" s="60"/>
      <c r="H76" s="59"/>
      <c r="I76" s="60"/>
    </row>
    <row r="77" spans="6:9" x14ac:dyDescent="0.25">
      <c r="H77" s="59"/>
      <c r="I77" s="60"/>
    </row>
    <row r="79" spans="6:9" x14ac:dyDescent="0.25">
      <c r="F79" s="59"/>
      <c r="G79" s="60"/>
    </row>
    <row r="80" spans="6:9" x14ac:dyDescent="0.25">
      <c r="F80" s="59"/>
      <c r="G80" s="60"/>
      <c r="H80" s="59"/>
      <c r="I80" s="60"/>
    </row>
    <row r="81" spans="6:9" x14ac:dyDescent="0.25">
      <c r="F81" s="59"/>
      <c r="G81" s="60"/>
      <c r="H81" s="59"/>
      <c r="I81" s="60"/>
    </row>
    <row r="82" spans="6:9" x14ac:dyDescent="0.25">
      <c r="F82" s="59"/>
      <c r="G82" s="60"/>
      <c r="H82" s="59"/>
      <c r="I82" s="60"/>
    </row>
    <row r="83" spans="6:9" x14ac:dyDescent="0.25">
      <c r="F83" s="59"/>
      <c r="G83" s="60"/>
      <c r="H83" s="59"/>
      <c r="I83" s="60"/>
    </row>
    <row r="84" spans="6:9" x14ac:dyDescent="0.25">
      <c r="F84" s="59"/>
      <c r="G84" s="60"/>
      <c r="H84" s="59"/>
      <c r="I84" s="60"/>
    </row>
    <row r="85" spans="6:9" x14ac:dyDescent="0.25">
      <c r="F85" s="59"/>
      <c r="G85" s="60"/>
      <c r="H85" s="59"/>
      <c r="I85" s="60"/>
    </row>
    <row r="86" spans="6:9" x14ac:dyDescent="0.25">
      <c r="F86" s="59"/>
      <c r="G86" s="60"/>
      <c r="H86" s="59"/>
      <c r="I86" s="60"/>
    </row>
    <row r="87" spans="6:9" x14ac:dyDescent="0.25">
      <c r="H87" s="59"/>
      <c r="I87" s="60"/>
    </row>
    <row r="90" spans="6:9" x14ac:dyDescent="0.25">
      <c r="F90" s="59"/>
      <c r="G90" s="60"/>
    </row>
    <row r="91" spans="6:9" x14ac:dyDescent="0.25">
      <c r="F91" s="59"/>
      <c r="G91" s="60"/>
      <c r="H91" s="59"/>
      <c r="I91" s="60"/>
    </row>
    <row r="92" spans="6:9" x14ac:dyDescent="0.25">
      <c r="F92" s="59"/>
      <c r="G92" s="60"/>
      <c r="H92" s="59"/>
      <c r="I92" s="60"/>
    </row>
    <row r="93" spans="6:9" x14ac:dyDescent="0.25">
      <c r="F93" s="59"/>
      <c r="G93" s="60"/>
      <c r="H93" s="59"/>
      <c r="I93" s="60"/>
    </row>
    <row r="94" spans="6:9" x14ac:dyDescent="0.25">
      <c r="F94" s="59"/>
      <c r="G94" s="60"/>
      <c r="H94" s="59"/>
      <c r="I94" s="60"/>
    </row>
    <row r="95" spans="6:9" x14ac:dyDescent="0.25">
      <c r="F95" s="59"/>
      <c r="G95" s="60"/>
      <c r="H95" s="59"/>
      <c r="I95" s="60"/>
    </row>
    <row r="96" spans="6:9" x14ac:dyDescent="0.25">
      <c r="F96" s="59"/>
      <c r="G96" s="60"/>
      <c r="H96" s="59"/>
      <c r="I96" s="60"/>
    </row>
    <row r="97" spans="6:9" x14ac:dyDescent="0.25">
      <c r="F97" s="59"/>
      <c r="G97" s="60"/>
      <c r="H97" s="59"/>
      <c r="I97" s="60"/>
    </row>
    <row r="98" spans="6:9" x14ac:dyDescent="0.25">
      <c r="F98" s="59"/>
      <c r="G98" s="60"/>
      <c r="H98" s="59"/>
      <c r="I98" s="60"/>
    </row>
    <row r="99" spans="6:9" x14ac:dyDescent="0.25">
      <c r="F99" s="59"/>
      <c r="G99" s="60"/>
      <c r="H99" s="59"/>
      <c r="I99" s="60"/>
    </row>
    <row r="100" spans="6:9" x14ac:dyDescent="0.25">
      <c r="F100" s="59"/>
      <c r="G100" s="60"/>
      <c r="H100" s="59"/>
      <c r="I100" s="60"/>
    </row>
    <row r="101" spans="6:9" x14ac:dyDescent="0.25">
      <c r="F101" s="59"/>
      <c r="G101" s="60"/>
      <c r="H101" s="59"/>
      <c r="I101" s="60"/>
    </row>
    <row r="102" spans="6:9" x14ac:dyDescent="0.25">
      <c r="F102" s="59"/>
      <c r="G102" s="60"/>
      <c r="H102" s="59"/>
      <c r="I102" s="60"/>
    </row>
    <row r="103" spans="6:9" x14ac:dyDescent="0.25">
      <c r="F103" s="59"/>
      <c r="G103" s="60"/>
      <c r="H103" s="59"/>
      <c r="I103" s="60"/>
    </row>
    <row r="104" spans="6:9" x14ac:dyDescent="0.25">
      <c r="F104" s="59"/>
      <c r="G104" s="60"/>
      <c r="H104" s="59"/>
      <c r="I104" s="60"/>
    </row>
    <row r="105" spans="6:9" x14ac:dyDescent="0.25">
      <c r="G105" s="58"/>
      <c r="H105" s="59"/>
      <c r="I105" s="60"/>
    </row>
    <row r="107" spans="6:9" x14ac:dyDescent="0.25">
      <c r="G107" s="58"/>
      <c r="H107" s="59"/>
      <c r="I107" s="60"/>
    </row>
    <row r="108" spans="6:9" x14ac:dyDescent="0.25">
      <c r="G108" s="58"/>
      <c r="H108" s="59"/>
      <c r="I108" s="60"/>
    </row>
    <row r="109" spans="6:9" x14ac:dyDescent="0.25">
      <c r="G109" s="58"/>
      <c r="H109" s="59"/>
      <c r="I109" s="60"/>
    </row>
    <row r="110" spans="6:9" x14ac:dyDescent="0.25">
      <c r="G110" s="58"/>
      <c r="H110" s="59"/>
      <c r="I110" s="60"/>
    </row>
    <row r="111" spans="6:9" x14ac:dyDescent="0.25">
      <c r="G111" s="58"/>
      <c r="H111" s="59"/>
      <c r="I111" s="60"/>
    </row>
    <row r="112" spans="6:9" x14ac:dyDescent="0.25">
      <c r="G112" s="58"/>
      <c r="H112" s="59"/>
      <c r="I112" s="60"/>
    </row>
    <row r="113" spans="7:9" x14ac:dyDescent="0.25">
      <c r="G113" s="58"/>
      <c r="H113" s="59"/>
      <c r="I113" s="60"/>
    </row>
    <row r="114" spans="7:9" x14ac:dyDescent="0.25">
      <c r="G114" s="58"/>
      <c r="H114" s="59"/>
      <c r="I114" s="60"/>
    </row>
    <row r="115" spans="7:9" x14ac:dyDescent="0.25">
      <c r="G115" s="58"/>
      <c r="H115" s="59"/>
      <c r="I115" s="60"/>
    </row>
    <row r="116" spans="7:9" x14ac:dyDescent="0.25">
      <c r="G116" s="58"/>
      <c r="H116" s="59"/>
      <c r="I116" s="6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C25" sqref="C25"/>
    </sheetView>
  </sheetViews>
  <sheetFormatPr defaultRowHeight="15" x14ac:dyDescent="0.25"/>
  <cols>
    <col min="1" max="1" width="12.7109375" customWidth="1"/>
    <col min="2" max="2" width="15.28515625" customWidth="1"/>
    <col min="3" max="3" width="15.7109375" customWidth="1"/>
    <col min="6" max="7" width="9.42578125" bestFit="1" customWidth="1"/>
    <col min="8" max="8" width="14.140625" customWidth="1"/>
    <col min="9" max="9" width="13.7109375" customWidth="1"/>
    <col min="10" max="10" width="21" customWidth="1"/>
  </cols>
  <sheetData>
    <row r="1" spans="1:10" ht="20.25" x14ac:dyDescent="0.3">
      <c r="A1" s="18" t="s">
        <v>53</v>
      </c>
    </row>
    <row r="2" spans="1:10" ht="15.75" x14ac:dyDescent="0.25">
      <c r="A2" s="19" t="s">
        <v>29</v>
      </c>
    </row>
    <row r="3" spans="1:10" x14ac:dyDescent="0.25">
      <c r="A3" t="s">
        <v>2</v>
      </c>
      <c r="C3" s="20">
        <v>37500</v>
      </c>
    </row>
    <row r="4" spans="1:10" x14ac:dyDescent="0.25">
      <c r="A4" t="s">
        <v>40</v>
      </c>
      <c r="C4" s="3">
        <f>20470+9391+2000+18466</f>
        <v>50327</v>
      </c>
    </row>
    <row r="5" spans="1:10" x14ac:dyDescent="0.25">
      <c r="A5" t="s">
        <v>39</v>
      </c>
      <c r="C5" s="3">
        <f>800+300+300+5000</f>
        <v>6400</v>
      </c>
      <c r="H5" s="49"/>
      <c r="I5" s="50"/>
      <c r="J5" s="51"/>
    </row>
    <row r="6" spans="1:10" x14ac:dyDescent="0.25">
      <c r="A6" t="s">
        <v>38</v>
      </c>
      <c r="C6" s="3">
        <f>1000</f>
        <v>1000</v>
      </c>
      <c r="H6" s="49"/>
      <c r="I6" s="50"/>
      <c r="J6" s="51"/>
    </row>
    <row r="7" spans="1:10" x14ac:dyDescent="0.25">
      <c r="A7" t="s">
        <v>51</v>
      </c>
      <c r="C7" s="3">
        <v>1471</v>
      </c>
      <c r="H7" s="49"/>
      <c r="I7" s="53"/>
      <c r="J7" s="51"/>
    </row>
    <row r="8" spans="1:10" ht="15.75" thickBot="1" x14ac:dyDescent="0.3">
      <c r="A8" s="4" t="s">
        <v>24</v>
      </c>
      <c r="B8" s="4"/>
      <c r="C8" s="5">
        <f>SUM(C3:C7)</f>
        <v>96698</v>
      </c>
      <c r="H8" s="49"/>
      <c r="I8" s="53"/>
      <c r="J8" s="51"/>
    </row>
    <row r="9" spans="1:10" x14ac:dyDescent="0.25">
      <c r="C9" s="3"/>
      <c r="H9" s="49"/>
      <c r="I9" s="50"/>
      <c r="J9" s="51"/>
    </row>
    <row r="10" spans="1:10" x14ac:dyDescent="0.25">
      <c r="C10" s="3"/>
      <c r="H10" s="49"/>
      <c r="I10" s="50"/>
      <c r="J10" s="51"/>
    </row>
    <row r="11" spans="1:10" ht="15.75" x14ac:dyDescent="0.25">
      <c r="A11" s="13" t="s">
        <v>28</v>
      </c>
      <c r="C11" s="3"/>
      <c r="H11" s="49"/>
      <c r="I11" s="50"/>
      <c r="J11" s="51"/>
    </row>
    <row r="12" spans="1:10" x14ac:dyDescent="0.25">
      <c r="A12" s="6" t="s">
        <v>31</v>
      </c>
      <c r="B12" s="7"/>
      <c r="C12" s="3"/>
      <c r="H12" s="49"/>
      <c r="I12" s="50"/>
      <c r="J12" s="51"/>
    </row>
    <row r="13" spans="1:10" x14ac:dyDescent="0.25">
      <c r="A13" s="8" t="s">
        <v>32</v>
      </c>
      <c r="C13" s="9">
        <f>304+1925</f>
        <v>2229</v>
      </c>
      <c r="H13" s="49"/>
      <c r="I13" s="50"/>
      <c r="J13" s="51"/>
    </row>
    <row r="14" spans="1:10" x14ac:dyDescent="0.25">
      <c r="A14" s="8" t="s">
        <v>33</v>
      </c>
      <c r="C14" s="9"/>
      <c r="H14" s="49"/>
      <c r="I14" s="50"/>
      <c r="J14" s="51"/>
    </row>
    <row r="15" spans="1:10" x14ac:dyDescent="0.25">
      <c r="A15" s="6" t="s">
        <v>34</v>
      </c>
      <c r="C15" s="9"/>
      <c r="H15" s="49"/>
      <c r="I15" s="50"/>
      <c r="J15" s="51"/>
    </row>
    <row r="16" spans="1:10" x14ac:dyDescent="0.25">
      <c r="A16" s="8" t="s">
        <v>12</v>
      </c>
      <c r="C16" s="9">
        <v>1.5</v>
      </c>
      <c r="H16" s="49"/>
      <c r="I16" s="50"/>
      <c r="J16" s="51"/>
    </row>
    <row r="17" spans="1:10" x14ac:dyDescent="0.25">
      <c r="A17" s="8" t="s">
        <v>54</v>
      </c>
      <c r="C17" s="9">
        <f>257</f>
        <v>257</v>
      </c>
      <c r="H17" s="49"/>
      <c r="I17" s="50"/>
      <c r="J17" s="51"/>
    </row>
    <row r="18" spans="1:10" x14ac:dyDescent="0.25">
      <c r="A18" s="8" t="s">
        <v>42</v>
      </c>
      <c r="C18" s="9">
        <v>331</v>
      </c>
      <c r="H18" s="49"/>
      <c r="I18" s="50"/>
      <c r="J18" s="51"/>
    </row>
    <row r="19" spans="1:10" s="48" customFormat="1" x14ac:dyDescent="0.25">
      <c r="A19" s="8" t="s">
        <v>55</v>
      </c>
      <c r="C19" s="9">
        <v>5500</v>
      </c>
      <c r="H19" s="49"/>
      <c r="I19" s="50"/>
      <c r="J19" s="51"/>
    </row>
    <row r="20" spans="1:10" x14ac:dyDescent="0.25">
      <c r="A20" s="6" t="s">
        <v>36</v>
      </c>
      <c r="C20" s="9"/>
      <c r="F20" s="55"/>
      <c r="H20" s="49"/>
      <c r="I20" s="50"/>
      <c r="J20" s="52"/>
    </row>
    <row r="21" spans="1:10" x14ac:dyDescent="0.25">
      <c r="A21" s="8" t="s">
        <v>25</v>
      </c>
      <c r="C21" s="9">
        <v>7789</v>
      </c>
      <c r="H21" s="49"/>
      <c r="I21" s="50"/>
      <c r="J21" s="52"/>
    </row>
    <row r="22" spans="1:10" x14ac:dyDescent="0.25">
      <c r="A22" s="8" t="s">
        <v>26</v>
      </c>
      <c r="C22" s="9">
        <v>13443</v>
      </c>
      <c r="H22" s="49"/>
      <c r="I22" s="50"/>
      <c r="J22" s="51"/>
    </row>
    <row r="23" spans="1:10" x14ac:dyDescent="0.25">
      <c r="A23" s="8" t="s">
        <v>27</v>
      </c>
      <c r="C23" s="9">
        <v>2160</v>
      </c>
      <c r="H23" s="49"/>
      <c r="I23" s="50"/>
      <c r="J23" s="51"/>
    </row>
    <row r="24" spans="1:10" x14ac:dyDescent="0.25">
      <c r="A24" s="8" t="s">
        <v>37</v>
      </c>
      <c r="C24" s="9">
        <v>1160</v>
      </c>
      <c r="H24" s="49"/>
      <c r="I24" s="50"/>
      <c r="J24" s="51"/>
    </row>
    <row r="25" spans="1:10" x14ac:dyDescent="0.25">
      <c r="A25" s="8" t="s">
        <v>41</v>
      </c>
      <c r="C25" s="9">
        <v>14361</v>
      </c>
      <c r="H25" s="49"/>
      <c r="I25" s="50"/>
      <c r="J25" s="51"/>
    </row>
    <row r="26" spans="1:10" ht="15.75" thickBot="1" x14ac:dyDescent="0.3">
      <c r="A26" s="4" t="s">
        <v>24</v>
      </c>
      <c r="B26" s="10"/>
      <c r="C26" s="5">
        <f>SUM(C13:C25)</f>
        <v>47231.5</v>
      </c>
      <c r="H26" s="49"/>
      <c r="I26" s="50"/>
      <c r="J26" s="51"/>
    </row>
    <row r="27" spans="1:10" x14ac:dyDescent="0.25">
      <c r="G27" s="55"/>
    </row>
    <row r="28" spans="1:10" ht="15.75" x14ac:dyDescent="0.25">
      <c r="A28" s="13" t="s">
        <v>63</v>
      </c>
      <c r="C28" s="11">
        <f>C8-C26</f>
        <v>49466.5</v>
      </c>
      <c r="G28" s="55"/>
    </row>
    <row r="29" spans="1:10" x14ac:dyDescent="0.25">
      <c r="G29" s="54"/>
    </row>
    <row r="31" spans="1:10" x14ac:dyDescent="0.25">
      <c r="A31" s="6" t="s">
        <v>52</v>
      </c>
    </row>
    <row r="32" spans="1:10" x14ac:dyDescent="0.25">
      <c r="A32" s="2">
        <v>41306</v>
      </c>
      <c r="C32" s="24">
        <v>115900.49</v>
      </c>
    </row>
    <row r="33" spans="1:3" x14ac:dyDescent="0.25">
      <c r="A33" s="56">
        <v>41333</v>
      </c>
      <c r="B33" s="16"/>
      <c r="C33" s="17">
        <v>165366.99</v>
      </c>
    </row>
    <row r="34" spans="1:3" x14ac:dyDescent="0.25">
      <c r="A34" s="12" t="s">
        <v>24</v>
      </c>
      <c r="C34" s="15">
        <f>C33-C32</f>
        <v>49466.499999999985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42"/>
  <sheetViews>
    <sheetView workbookViewId="0">
      <selection activeCell="C15" sqref="C15"/>
    </sheetView>
  </sheetViews>
  <sheetFormatPr defaultRowHeight="15" x14ac:dyDescent="0.25"/>
  <cols>
    <col min="1" max="1" width="18.5703125" customWidth="1"/>
    <col min="2" max="2" width="9.5703125" bestFit="1" customWidth="1"/>
    <col min="3" max="3" width="13.7109375" customWidth="1"/>
    <col min="6" max="6" width="29.85546875" customWidth="1"/>
    <col min="7" max="7" width="8.85546875" hidden="1" customWidth="1"/>
    <col min="8" max="8" width="20.7109375" customWidth="1"/>
    <col min="9" max="9" width="31.7109375" customWidth="1"/>
  </cols>
  <sheetData>
    <row r="1" spans="1:19" ht="20.25" x14ac:dyDescent="0.3">
      <c r="A1" s="18" t="s">
        <v>30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15.75" x14ac:dyDescent="0.25">
      <c r="A2" s="19" t="s">
        <v>29</v>
      </c>
      <c r="E2" s="32"/>
      <c r="F2" s="29"/>
      <c r="G2" s="32"/>
      <c r="H2" s="33"/>
      <c r="I2" s="33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x14ac:dyDescent="0.25">
      <c r="A3" t="s">
        <v>2</v>
      </c>
      <c r="C3" s="20">
        <f>100+100+200+100+200+300+200+100</f>
        <v>1300</v>
      </c>
      <c r="E3" s="34"/>
      <c r="F3" s="31"/>
      <c r="G3" s="32"/>
      <c r="H3" s="33"/>
      <c r="I3" s="33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x14ac:dyDescent="0.25">
      <c r="A4" t="s">
        <v>40</v>
      </c>
      <c r="C4" s="3">
        <f>18466+9391+2000+18690+9391+2000+18466</f>
        <v>78404</v>
      </c>
      <c r="E4" s="34"/>
      <c r="F4" s="31"/>
      <c r="G4" s="35"/>
      <c r="H4" s="36"/>
      <c r="I4" s="36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x14ac:dyDescent="0.25">
      <c r="A5" t="s">
        <v>39</v>
      </c>
      <c r="C5" s="3">
        <f>12700+500</f>
        <v>13200</v>
      </c>
      <c r="E5" s="34"/>
      <c r="F5" s="31"/>
      <c r="G5" s="35"/>
      <c r="H5" s="36"/>
      <c r="I5" s="36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x14ac:dyDescent="0.25">
      <c r="A6" t="s">
        <v>38</v>
      </c>
      <c r="C6" s="3">
        <v>1000</v>
      </c>
      <c r="E6" s="34"/>
      <c r="F6" s="31"/>
      <c r="G6" s="35"/>
      <c r="H6" s="36"/>
      <c r="I6" s="36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15.75" thickBot="1" x14ac:dyDescent="0.3">
      <c r="A7" s="4" t="s">
        <v>24</v>
      </c>
      <c r="B7" s="4"/>
      <c r="C7" s="5">
        <f>SUM(C3:C6)</f>
        <v>93904</v>
      </c>
      <c r="E7" s="34"/>
      <c r="F7" s="31"/>
      <c r="G7" s="35"/>
      <c r="H7" s="37"/>
      <c r="I7" s="36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x14ac:dyDescent="0.25">
      <c r="C8" s="3"/>
      <c r="E8" s="34"/>
      <c r="F8" s="31"/>
      <c r="G8" s="35"/>
      <c r="H8" s="36"/>
      <c r="I8" s="36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x14ac:dyDescent="0.25">
      <c r="C9" s="3"/>
      <c r="E9" s="34"/>
      <c r="F9" s="31"/>
      <c r="G9" s="35"/>
      <c r="H9" s="36"/>
      <c r="I9" s="36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19" ht="15.75" x14ac:dyDescent="0.25">
      <c r="A10" s="13" t="s">
        <v>28</v>
      </c>
      <c r="C10" s="3"/>
      <c r="E10" s="34"/>
      <c r="F10" s="31"/>
      <c r="G10" s="35"/>
      <c r="H10" s="36"/>
      <c r="I10" s="36"/>
      <c r="J10" s="31"/>
      <c r="K10" s="31"/>
      <c r="L10" s="31"/>
      <c r="M10" s="31"/>
      <c r="N10" s="31"/>
      <c r="O10" s="31"/>
      <c r="P10" s="31"/>
      <c r="Q10" s="31"/>
      <c r="R10" s="31"/>
      <c r="S10" s="31"/>
    </row>
    <row r="11" spans="1:19" x14ac:dyDescent="0.25">
      <c r="A11" s="6" t="s">
        <v>31</v>
      </c>
      <c r="B11" s="7"/>
      <c r="C11" s="3"/>
      <c r="E11" s="34"/>
      <c r="F11" s="31"/>
      <c r="G11" s="35"/>
      <c r="H11" s="37"/>
      <c r="I11" s="36"/>
      <c r="J11" s="34"/>
      <c r="K11" s="31"/>
      <c r="L11" s="31"/>
      <c r="M11" s="31"/>
      <c r="N11" s="31"/>
      <c r="O11" s="31"/>
      <c r="P11" s="31"/>
      <c r="Q11" s="31"/>
      <c r="R11" s="31"/>
      <c r="S11" s="31"/>
    </row>
    <row r="12" spans="1:19" x14ac:dyDescent="0.25">
      <c r="A12" s="8" t="s">
        <v>32</v>
      </c>
      <c r="C12" s="9">
        <v>347</v>
      </c>
      <c r="E12" s="35"/>
      <c r="F12" s="30"/>
      <c r="G12" s="35"/>
      <c r="H12" s="36"/>
      <c r="I12" s="36"/>
      <c r="J12" s="34"/>
      <c r="K12" s="31"/>
      <c r="L12" s="31"/>
      <c r="M12" s="31"/>
      <c r="N12" s="31"/>
      <c r="O12" s="31"/>
      <c r="P12" s="31"/>
      <c r="Q12" s="31"/>
      <c r="R12" s="31"/>
      <c r="S12" s="31"/>
    </row>
    <row r="13" spans="1:19" x14ac:dyDescent="0.25">
      <c r="A13" s="8" t="s">
        <v>33</v>
      </c>
      <c r="C13" s="9">
        <v>56</v>
      </c>
      <c r="E13" s="35"/>
      <c r="F13" s="30"/>
      <c r="G13" s="35"/>
      <c r="H13" s="36"/>
      <c r="I13" s="36"/>
      <c r="J13" s="34"/>
      <c r="K13" s="31"/>
      <c r="L13" s="31"/>
      <c r="M13" s="31"/>
      <c r="N13" s="31"/>
      <c r="O13" s="31"/>
      <c r="P13" s="31"/>
      <c r="Q13" s="31"/>
      <c r="R13" s="31"/>
      <c r="S13" s="31"/>
    </row>
    <row r="14" spans="1:19" x14ac:dyDescent="0.25">
      <c r="A14" s="6" t="s">
        <v>34</v>
      </c>
      <c r="C14" s="9"/>
      <c r="E14" s="32"/>
      <c r="F14" s="29"/>
      <c r="G14" s="32"/>
      <c r="H14" s="38"/>
      <c r="I14" s="33"/>
      <c r="J14" s="34"/>
      <c r="K14" s="31"/>
      <c r="L14" s="31"/>
      <c r="M14" s="31"/>
      <c r="N14" s="31"/>
      <c r="O14" s="31"/>
      <c r="P14" s="31"/>
      <c r="Q14" s="31"/>
      <c r="R14" s="31"/>
      <c r="S14" s="31"/>
    </row>
    <row r="15" spans="1:19" x14ac:dyDescent="0.25">
      <c r="A15" s="8" t="s">
        <v>12</v>
      </c>
      <c r="C15" s="9">
        <f>1301.5-450</f>
        <v>851.5</v>
      </c>
      <c r="E15" s="32"/>
      <c r="F15" s="29"/>
      <c r="G15" s="32"/>
      <c r="H15" s="33"/>
      <c r="I15" s="33"/>
      <c r="J15" s="34"/>
      <c r="K15" s="31"/>
      <c r="L15" s="31"/>
      <c r="M15" s="31"/>
      <c r="N15" s="31"/>
      <c r="O15" s="31"/>
      <c r="P15" s="31"/>
      <c r="Q15" s="31"/>
      <c r="R15" s="31"/>
      <c r="S15" s="31"/>
    </row>
    <row r="16" spans="1:19" x14ac:dyDescent="0.25">
      <c r="A16" s="8" t="s">
        <v>35</v>
      </c>
      <c r="C16" s="9">
        <v>559</v>
      </c>
      <c r="E16" s="32"/>
      <c r="F16" s="29"/>
      <c r="G16" s="32"/>
      <c r="H16" s="38"/>
      <c r="I16" s="33"/>
      <c r="J16" s="34"/>
      <c r="K16" s="31"/>
      <c r="L16" s="31"/>
      <c r="M16" s="31"/>
      <c r="N16" s="31"/>
      <c r="O16" s="31"/>
      <c r="P16" s="31"/>
      <c r="Q16" s="31"/>
      <c r="R16" s="31"/>
      <c r="S16" s="31"/>
    </row>
    <row r="17" spans="1:19" x14ac:dyDescent="0.25">
      <c r="A17" s="8" t="s">
        <v>42</v>
      </c>
      <c r="C17" s="9">
        <f>152+727.5</f>
        <v>879.5</v>
      </c>
      <c r="E17" s="32"/>
      <c r="F17" s="29"/>
      <c r="G17" s="32"/>
      <c r="H17" s="33"/>
      <c r="I17" s="33"/>
      <c r="J17" s="34"/>
      <c r="K17" s="31"/>
      <c r="L17" s="31"/>
      <c r="M17" s="31"/>
      <c r="N17" s="31"/>
      <c r="O17" s="31"/>
      <c r="P17" s="31"/>
      <c r="Q17" s="31"/>
      <c r="R17" s="31"/>
      <c r="S17" s="31"/>
    </row>
    <row r="18" spans="1:19" x14ac:dyDescent="0.25">
      <c r="A18" s="6" t="s">
        <v>36</v>
      </c>
      <c r="C18" s="9"/>
      <c r="E18" s="32"/>
      <c r="F18" s="29"/>
      <c r="G18" s="32"/>
      <c r="H18" s="33"/>
      <c r="I18" s="33"/>
      <c r="J18" s="34"/>
      <c r="K18" s="31"/>
      <c r="L18" s="31"/>
      <c r="M18" s="31"/>
      <c r="N18" s="31"/>
      <c r="O18" s="31"/>
      <c r="P18" s="31"/>
      <c r="Q18" s="31"/>
      <c r="R18" s="31"/>
      <c r="S18" s="31"/>
    </row>
    <row r="19" spans="1:19" x14ac:dyDescent="0.25">
      <c r="A19" s="8" t="s">
        <v>25</v>
      </c>
      <c r="C19" s="9">
        <v>7789</v>
      </c>
      <c r="E19" s="32"/>
      <c r="F19" s="29"/>
      <c r="G19" s="32"/>
      <c r="H19" s="33"/>
      <c r="I19" s="33"/>
      <c r="J19" s="34"/>
      <c r="K19" s="31"/>
      <c r="L19" s="31"/>
      <c r="M19" s="31"/>
      <c r="N19" s="31"/>
      <c r="O19" s="31"/>
      <c r="P19" s="31"/>
      <c r="Q19" s="31"/>
      <c r="R19" s="31"/>
      <c r="S19" s="31"/>
    </row>
    <row r="20" spans="1:19" x14ac:dyDescent="0.25">
      <c r="A20" s="8" t="s">
        <v>26</v>
      </c>
      <c r="C20" s="9">
        <v>13443</v>
      </c>
      <c r="E20" s="31"/>
      <c r="F20" s="31"/>
      <c r="G20" s="31"/>
      <c r="H20" s="31"/>
      <c r="I20" s="31"/>
      <c r="J20" s="34"/>
      <c r="K20" s="31"/>
      <c r="L20" s="31"/>
      <c r="M20" s="31"/>
      <c r="N20" s="31"/>
      <c r="O20" s="31"/>
      <c r="P20" s="31"/>
      <c r="Q20" s="31"/>
      <c r="R20" s="31"/>
      <c r="S20" s="31"/>
    </row>
    <row r="21" spans="1:19" x14ac:dyDescent="0.25">
      <c r="A21" s="8" t="s">
        <v>27</v>
      </c>
      <c r="C21" s="9">
        <v>15841</v>
      </c>
      <c r="E21" s="31"/>
      <c r="F21" s="31"/>
      <c r="G21" s="31"/>
      <c r="H21" s="31"/>
      <c r="I21" s="31"/>
      <c r="J21" s="34"/>
      <c r="K21" s="31"/>
      <c r="L21" s="31"/>
      <c r="M21" s="31"/>
      <c r="N21" s="31"/>
      <c r="O21" s="31"/>
      <c r="P21" s="31"/>
      <c r="Q21" s="31"/>
      <c r="R21" s="31"/>
      <c r="S21" s="31"/>
    </row>
    <row r="22" spans="1:19" x14ac:dyDescent="0.25">
      <c r="A22" s="8" t="s">
        <v>37</v>
      </c>
      <c r="C22" s="9">
        <v>1160</v>
      </c>
      <c r="E22" s="31"/>
      <c r="F22" s="31"/>
      <c r="G22" s="31"/>
      <c r="H22" s="31"/>
      <c r="I22" s="31"/>
      <c r="J22" s="34"/>
      <c r="K22" s="31"/>
      <c r="L22" s="31"/>
      <c r="M22" s="31"/>
      <c r="N22" s="31"/>
      <c r="O22" s="31"/>
      <c r="P22" s="31"/>
      <c r="Q22" s="31"/>
      <c r="R22" s="31"/>
      <c r="S22" s="31"/>
    </row>
    <row r="23" spans="1:19" x14ac:dyDescent="0.25">
      <c r="A23" s="8" t="s">
        <v>41</v>
      </c>
      <c r="C23" s="9">
        <v>23380</v>
      </c>
      <c r="E23" s="31"/>
      <c r="F23" s="31"/>
      <c r="G23" s="31"/>
      <c r="H23" s="31"/>
      <c r="I23" s="31"/>
      <c r="J23" s="34"/>
      <c r="K23" s="31"/>
      <c r="L23" s="31"/>
      <c r="M23" s="31"/>
      <c r="N23" s="31"/>
      <c r="O23" s="31"/>
      <c r="P23" s="31"/>
      <c r="Q23" s="31"/>
      <c r="R23" s="31"/>
      <c r="S23" s="31"/>
    </row>
    <row r="24" spans="1:19" ht="15.75" thickBot="1" x14ac:dyDescent="0.3">
      <c r="A24" s="4" t="s">
        <v>24</v>
      </c>
      <c r="B24" s="10"/>
      <c r="C24" s="5">
        <f>SUM(C12:C23)</f>
        <v>64306</v>
      </c>
      <c r="E24" s="31"/>
      <c r="F24" s="31"/>
      <c r="G24" s="31"/>
      <c r="H24" s="31"/>
      <c r="I24" s="31"/>
      <c r="J24" s="34"/>
      <c r="K24" s="31"/>
      <c r="L24" s="31"/>
      <c r="M24" s="31"/>
      <c r="N24" s="31"/>
      <c r="O24" s="31"/>
      <c r="P24" s="31"/>
      <c r="Q24" s="31"/>
      <c r="R24" s="31"/>
      <c r="S24" s="31"/>
    </row>
    <row r="25" spans="1:19" x14ac:dyDescent="0.25">
      <c r="E25" s="31"/>
      <c r="F25" s="31"/>
      <c r="G25" s="31"/>
      <c r="H25" s="31"/>
      <c r="I25" s="31"/>
      <c r="J25" s="34"/>
      <c r="K25" s="31"/>
      <c r="L25" s="31"/>
      <c r="M25" s="31"/>
      <c r="N25" s="31"/>
      <c r="O25" s="31"/>
      <c r="P25" s="31"/>
      <c r="Q25" s="31"/>
      <c r="R25" s="31"/>
      <c r="S25" s="31"/>
    </row>
    <row r="26" spans="1:19" ht="15.75" x14ac:dyDescent="0.25">
      <c r="A26" s="13" t="s">
        <v>43</v>
      </c>
      <c r="C26" s="11">
        <f>C7-C24</f>
        <v>29598</v>
      </c>
      <c r="E26" s="31"/>
      <c r="F26" s="31"/>
      <c r="G26" s="31"/>
      <c r="H26" s="31"/>
      <c r="I26" s="31"/>
      <c r="J26" s="34"/>
      <c r="K26" s="31"/>
      <c r="L26" s="31"/>
      <c r="M26" s="31"/>
      <c r="N26" s="31"/>
      <c r="O26" s="31"/>
      <c r="P26" s="31"/>
      <c r="Q26" s="31"/>
      <c r="R26" s="31"/>
      <c r="S26" s="31"/>
    </row>
    <row r="27" spans="1:19" x14ac:dyDescent="0.25">
      <c r="C27" s="12"/>
      <c r="E27" s="31"/>
      <c r="F27" s="31"/>
      <c r="G27" s="31"/>
      <c r="H27" s="31"/>
      <c r="I27" s="31"/>
      <c r="J27" s="34"/>
      <c r="K27" s="31"/>
      <c r="L27" s="31"/>
      <c r="M27" s="31"/>
      <c r="N27" s="31"/>
      <c r="O27" s="31"/>
      <c r="P27" s="31"/>
      <c r="Q27" s="31"/>
      <c r="R27" s="31"/>
      <c r="S27" s="31"/>
    </row>
    <row r="28" spans="1:19" x14ac:dyDescent="0.25">
      <c r="E28" s="31"/>
      <c r="F28" s="31"/>
      <c r="G28" s="31"/>
      <c r="H28" s="31"/>
      <c r="I28" s="31"/>
      <c r="J28" s="34"/>
      <c r="K28" s="31"/>
      <c r="L28" s="31"/>
      <c r="M28" s="31"/>
      <c r="N28" s="31"/>
      <c r="O28" s="31"/>
      <c r="P28" s="31"/>
      <c r="Q28" s="31"/>
      <c r="R28" s="31"/>
      <c r="S28" s="31"/>
    </row>
    <row r="29" spans="1:19" ht="15.75" x14ac:dyDescent="0.25">
      <c r="A29" s="13"/>
      <c r="B29" s="14"/>
      <c r="D29" s="1"/>
      <c r="E29" s="31"/>
      <c r="F29" s="31"/>
      <c r="G29" s="31"/>
      <c r="H29" s="31"/>
      <c r="I29" s="31"/>
      <c r="J29" s="34"/>
      <c r="K29" s="31"/>
      <c r="L29" s="31"/>
      <c r="M29" s="31"/>
      <c r="N29" s="31"/>
      <c r="O29" s="31"/>
      <c r="P29" s="31"/>
      <c r="Q29" s="31"/>
      <c r="R29" s="31"/>
      <c r="S29" s="31"/>
    </row>
    <row r="30" spans="1:19" ht="15.75" x14ac:dyDescent="0.25">
      <c r="A30" s="13"/>
      <c r="E30" s="31"/>
      <c r="F30" s="31"/>
      <c r="G30" s="31"/>
      <c r="H30" s="31"/>
      <c r="I30" s="31"/>
      <c r="J30" s="34"/>
      <c r="K30" s="31"/>
      <c r="L30" s="31"/>
      <c r="M30" s="31"/>
      <c r="N30" s="31"/>
      <c r="O30" s="31"/>
      <c r="P30" s="31"/>
      <c r="Q30" s="31"/>
      <c r="R30" s="31"/>
      <c r="S30" s="31"/>
    </row>
    <row r="31" spans="1:19" x14ac:dyDescent="0.25">
      <c r="A31" s="6" t="s">
        <v>44</v>
      </c>
      <c r="E31" s="39"/>
      <c r="F31" s="39"/>
      <c r="G31" s="39"/>
      <c r="H31" s="39"/>
      <c r="I31" s="39"/>
      <c r="J31" s="39"/>
      <c r="K31" s="31"/>
      <c r="L31" s="31"/>
      <c r="M31" s="31"/>
      <c r="N31" s="31"/>
      <c r="O31" s="31"/>
      <c r="P31" s="31"/>
      <c r="Q31" s="31"/>
      <c r="R31" s="31"/>
      <c r="S31" s="31"/>
    </row>
    <row r="32" spans="1:19" x14ac:dyDescent="0.25">
      <c r="A32" s="44">
        <v>41275</v>
      </c>
      <c r="C32" s="15">
        <v>86302.49</v>
      </c>
      <c r="E32" s="40"/>
      <c r="F32" s="41"/>
      <c r="G32" s="42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</row>
    <row r="33" spans="1:19" x14ac:dyDescent="0.25">
      <c r="A33" s="45">
        <v>41305</v>
      </c>
      <c r="B33" s="16"/>
      <c r="C33" s="17">
        <v>115900.49</v>
      </c>
      <c r="D33" s="23"/>
      <c r="E33" s="40"/>
      <c r="F33" s="40"/>
      <c r="G33" s="42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</row>
    <row r="34" spans="1:19" x14ac:dyDescent="0.25">
      <c r="A34" s="46" t="s">
        <v>24</v>
      </c>
      <c r="C34" s="15">
        <f>C33-C32</f>
        <v>29598</v>
      </c>
      <c r="E34" s="40"/>
      <c r="F34" s="40"/>
      <c r="G34" s="42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</row>
    <row r="35" spans="1:19" x14ac:dyDescent="0.25">
      <c r="A35" s="12"/>
      <c r="C35" s="15"/>
      <c r="E35" s="40"/>
      <c r="F35" s="40"/>
      <c r="G35" s="42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</row>
    <row r="36" spans="1:19" ht="15.75" x14ac:dyDescent="0.25">
      <c r="A36" s="21"/>
      <c r="B36" s="21"/>
      <c r="C36" s="22"/>
      <c r="D36" s="23"/>
      <c r="E36" s="40"/>
      <c r="F36" s="40"/>
      <c r="G36" s="42"/>
      <c r="H36" s="4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</row>
    <row r="37" spans="1:19" x14ac:dyDescent="0.25">
      <c r="A37" s="25"/>
      <c r="B37" s="23"/>
      <c r="C37" s="24"/>
      <c r="D37" s="23"/>
      <c r="E37" s="43"/>
      <c r="F37" s="43"/>
      <c r="G37" s="42"/>
      <c r="H37" s="4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</row>
    <row r="38" spans="1:19" x14ac:dyDescent="0.25">
      <c r="A38" s="23"/>
      <c r="B38" s="23"/>
      <c r="C38" s="24"/>
      <c r="D38" s="23"/>
      <c r="E38" s="40"/>
      <c r="F38" s="40"/>
      <c r="G38" s="42"/>
      <c r="H38" s="4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</row>
    <row r="39" spans="1:19" x14ac:dyDescent="0.25">
      <c r="A39" s="23"/>
      <c r="B39" s="23"/>
      <c r="C39" s="24"/>
      <c r="D39" s="23"/>
      <c r="E39" s="23"/>
      <c r="F39" s="23"/>
      <c r="G39" s="24"/>
      <c r="H39" s="23"/>
    </row>
    <row r="40" spans="1:19" x14ac:dyDescent="0.25">
      <c r="A40" s="26"/>
      <c r="B40" s="26"/>
      <c r="C40" s="27"/>
      <c r="D40" s="23"/>
      <c r="E40" s="26"/>
      <c r="F40" s="26"/>
      <c r="G40" s="27"/>
      <c r="H40" s="23"/>
    </row>
    <row r="41" spans="1:19" x14ac:dyDescent="0.25">
      <c r="A41" s="23"/>
      <c r="B41" s="23"/>
      <c r="C41" s="23"/>
      <c r="D41" s="23"/>
      <c r="E41" s="23"/>
      <c r="F41" s="23"/>
      <c r="G41" s="23"/>
      <c r="H41" s="23"/>
    </row>
    <row r="42" spans="1:19" x14ac:dyDescent="0.25">
      <c r="A42" s="23"/>
      <c r="B42" s="23"/>
      <c r="C42" s="23"/>
      <c r="D42" s="23"/>
      <c r="E42" s="23"/>
      <c r="F42" s="23"/>
      <c r="G42" s="23"/>
      <c r="H42" s="23"/>
    </row>
  </sheetData>
  <phoneticPr fontId="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A16" sqref="A16"/>
    </sheetView>
  </sheetViews>
  <sheetFormatPr defaultRowHeight="15" x14ac:dyDescent="0.25"/>
  <cols>
    <col min="1" max="1" width="12.7109375" customWidth="1"/>
    <col min="2" max="2" width="15.28515625" customWidth="1"/>
    <col min="3" max="3" width="15.7109375" customWidth="1"/>
  </cols>
  <sheetData>
    <row r="1" spans="1:3" ht="20.25" x14ac:dyDescent="0.3">
      <c r="A1" s="18" t="s">
        <v>49</v>
      </c>
    </row>
    <row r="2" spans="1:3" ht="15.75" x14ac:dyDescent="0.25">
      <c r="A2" s="19" t="s">
        <v>29</v>
      </c>
    </row>
    <row r="3" spans="1:3" x14ac:dyDescent="0.25">
      <c r="A3" t="s">
        <v>2</v>
      </c>
      <c r="C3" s="20" t="s">
        <v>47</v>
      </c>
    </row>
    <row r="4" spans="1:3" x14ac:dyDescent="0.25">
      <c r="A4" t="s">
        <v>40</v>
      </c>
      <c r="C4" s="3" t="s">
        <v>47</v>
      </c>
    </row>
    <row r="5" spans="1:3" x14ac:dyDescent="0.25">
      <c r="A5" t="s">
        <v>39</v>
      </c>
      <c r="C5" s="3" t="s">
        <v>47</v>
      </c>
    </row>
    <row r="6" spans="1:3" ht="15.75" thickBot="1" x14ac:dyDescent="0.3">
      <c r="A6" s="4" t="s">
        <v>24</v>
      </c>
      <c r="B6" s="4"/>
      <c r="C6" s="5">
        <f>SUM(C3:C5)</f>
        <v>0</v>
      </c>
    </row>
    <row r="7" spans="1:3" x14ac:dyDescent="0.25">
      <c r="C7" s="3"/>
    </row>
    <row r="8" spans="1:3" x14ac:dyDescent="0.25">
      <c r="C8" s="3"/>
    </row>
    <row r="9" spans="1:3" ht="15.75" x14ac:dyDescent="0.25">
      <c r="A9" s="13" t="s">
        <v>28</v>
      </c>
      <c r="C9" s="3"/>
    </row>
    <row r="10" spans="1:3" x14ac:dyDescent="0.25">
      <c r="A10" s="6" t="s">
        <v>31</v>
      </c>
      <c r="B10" s="7"/>
      <c r="C10" s="3" t="s">
        <v>47</v>
      </c>
    </row>
    <row r="11" spans="1:3" x14ac:dyDescent="0.25">
      <c r="A11" s="8" t="s">
        <v>32</v>
      </c>
      <c r="C11" s="9" t="s">
        <v>47</v>
      </c>
    </row>
    <row r="12" spans="1:3" x14ac:dyDescent="0.25">
      <c r="A12" s="8" t="s">
        <v>33</v>
      </c>
      <c r="C12" s="9" t="s">
        <v>47</v>
      </c>
    </row>
    <row r="13" spans="1:3" x14ac:dyDescent="0.25">
      <c r="A13" s="6" t="s">
        <v>34</v>
      </c>
      <c r="C13" s="9"/>
    </row>
    <row r="14" spans="1:3" x14ac:dyDescent="0.25">
      <c r="A14" s="8" t="s">
        <v>12</v>
      </c>
      <c r="C14" s="9" t="s">
        <v>47</v>
      </c>
    </row>
    <row r="15" spans="1:3" x14ac:dyDescent="0.25">
      <c r="A15" s="8" t="s">
        <v>35</v>
      </c>
      <c r="C15" s="9" t="s">
        <v>47</v>
      </c>
    </row>
    <row r="16" spans="1:3" x14ac:dyDescent="0.25">
      <c r="A16" s="8" t="s">
        <v>74</v>
      </c>
      <c r="C16" s="9" t="s">
        <v>47</v>
      </c>
    </row>
    <row r="17" spans="1:8" s="48" customFormat="1" x14ac:dyDescent="0.25">
      <c r="A17" s="8" t="s">
        <v>75</v>
      </c>
      <c r="C17" s="9"/>
    </row>
    <row r="18" spans="1:8" x14ac:dyDescent="0.25">
      <c r="A18" s="6" t="s">
        <v>36</v>
      </c>
      <c r="C18" s="9"/>
    </row>
    <row r="19" spans="1:8" x14ac:dyDescent="0.25">
      <c r="A19" s="8" t="s">
        <v>25</v>
      </c>
      <c r="C19" s="9"/>
    </row>
    <row r="20" spans="1:8" x14ac:dyDescent="0.25">
      <c r="A20" s="8" t="s">
        <v>26</v>
      </c>
      <c r="C20" s="9"/>
    </row>
    <row r="21" spans="1:8" x14ac:dyDescent="0.25">
      <c r="A21" s="8" t="s">
        <v>71</v>
      </c>
      <c r="C21" s="9"/>
      <c r="H21" s="48"/>
    </row>
    <row r="22" spans="1:8" x14ac:dyDescent="0.25">
      <c r="A22" s="8" t="s">
        <v>41</v>
      </c>
      <c r="C22" s="9"/>
    </row>
    <row r="23" spans="1:8" ht="15.75" thickBot="1" x14ac:dyDescent="0.3">
      <c r="A23" s="4" t="s">
        <v>24</v>
      </c>
      <c r="B23" s="10"/>
      <c r="C23" s="5">
        <f>SUM(C11:C22)</f>
        <v>0</v>
      </c>
    </row>
    <row r="25" spans="1:8" ht="15.75" x14ac:dyDescent="0.25">
      <c r="A25" s="13" t="s">
        <v>50</v>
      </c>
      <c r="C25" s="11">
        <f>C6-C23</f>
        <v>0</v>
      </c>
    </row>
    <row r="28" spans="1:8" x14ac:dyDescent="0.25">
      <c r="A28" s="6" t="s">
        <v>44</v>
      </c>
    </row>
    <row r="29" spans="1:8" x14ac:dyDescent="0.25">
      <c r="A29" s="2" t="s">
        <v>48</v>
      </c>
      <c r="C29" s="15"/>
    </row>
    <row r="30" spans="1:8" x14ac:dyDescent="0.25">
      <c r="A30" s="28" t="s">
        <v>48</v>
      </c>
      <c r="B30" s="16"/>
      <c r="C30" s="17"/>
    </row>
    <row r="31" spans="1:8" x14ac:dyDescent="0.25">
      <c r="A31" s="12" t="s">
        <v>24</v>
      </c>
      <c r="C31" s="15">
        <f>C30-C29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E22" sqref="E22"/>
    </sheetView>
  </sheetViews>
  <sheetFormatPr defaultColWidth="8.85546875" defaultRowHeight="15" x14ac:dyDescent="0.25"/>
  <cols>
    <col min="1" max="1" width="12.7109375" style="48" customWidth="1"/>
    <col min="2" max="2" width="15.28515625" style="48" customWidth="1"/>
    <col min="3" max="3" width="15.7109375" style="48" customWidth="1"/>
    <col min="4" max="6" width="8.85546875" style="48"/>
    <col min="7" max="7" width="10.7109375" style="48" customWidth="1"/>
    <col min="8" max="8" width="9.5703125" style="48" customWidth="1"/>
    <col min="9" max="16384" width="8.85546875" style="48"/>
  </cols>
  <sheetData>
    <row r="1" spans="1:14" ht="20.25" x14ac:dyDescent="0.3">
      <c r="A1" s="18" t="s">
        <v>111</v>
      </c>
    </row>
    <row r="2" spans="1:14" ht="15.75" x14ac:dyDescent="0.25">
      <c r="A2" s="19" t="s">
        <v>29</v>
      </c>
      <c r="G2" s="2"/>
    </row>
    <row r="3" spans="1:14" x14ac:dyDescent="0.25">
      <c r="A3" s="48" t="s">
        <v>2</v>
      </c>
      <c r="C3" s="20">
        <f>200+400</f>
        <v>600</v>
      </c>
      <c r="G3" s="2"/>
    </row>
    <row r="4" spans="1:14" x14ac:dyDescent="0.25">
      <c r="A4" s="48" t="s">
        <v>40</v>
      </c>
      <c r="C4" s="3">
        <f>3957</f>
        <v>3957</v>
      </c>
      <c r="G4" s="2"/>
    </row>
    <row r="5" spans="1:14" x14ac:dyDescent="0.25">
      <c r="A5" s="48" t="s">
        <v>39</v>
      </c>
      <c r="C5" s="3">
        <f>1000</f>
        <v>1000</v>
      </c>
      <c r="G5" s="2"/>
      <c r="H5" s="85"/>
    </row>
    <row r="6" spans="1:14" ht="15.75" thickBot="1" x14ac:dyDescent="0.3">
      <c r="A6" s="4" t="s">
        <v>24</v>
      </c>
      <c r="B6" s="4"/>
      <c r="C6" s="5">
        <f>SUM(C3:C5)</f>
        <v>5557</v>
      </c>
      <c r="G6" s="2"/>
      <c r="H6" s="85"/>
    </row>
    <row r="7" spans="1:14" x14ac:dyDescent="0.25">
      <c r="C7" s="3"/>
      <c r="G7" s="2"/>
      <c r="H7" s="85"/>
    </row>
    <row r="8" spans="1:14" x14ac:dyDescent="0.25">
      <c r="C8" s="3"/>
      <c r="G8" s="2"/>
    </row>
    <row r="9" spans="1:14" ht="15.75" x14ac:dyDescent="0.25">
      <c r="A9" s="13" t="s">
        <v>28</v>
      </c>
      <c r="C9" s="3"/>
      <c r="G9" s="2"/>
    </row>
    <row r="10" spans="1:14" x14ac:dyDescent="0.25">
      <c r="A10" s="6" t="s">
        <v>110</v>
      </c>
      <c r="B10" s="7"/>
      <c r="C10" s="3"/>
      <c r="G10" s="2"/>
    </row>
    <row r="11" spans="1:14" x14ac:dyDescent="0.25">
      <c r="A11" s="8" t="s">
        <v>32</v>
      </c>
      <c r="C11" s="9">
        <v>2124</v>
      </c>
      <c r="G11" s="2"/>
    </row>
    <row r="12" spans="1:14" x14ac:dyDescent="0.25">
      <c r="A12" s="8" t="s">
        <v>113</v>
      </c>
      <c r="C12" s="9">
        <v>2000</v>
      </c>
      <c r="G12" s="2"/>
      <c r="H12" s="85"/>
    </row>
    <row r="13" spans="1:14" x14ac:dyDescent="0.25">
      <c r="A13" s="6" t="s">
        <v>34</v>
      </c>
      <c r="C13" s="9"/>
      <c r="G13" s="2"/>
      <c r="H13" s="89"/>
      <c r="I13" s="89"/>
      <c r="J13" s="89"/>
      <c r="K13" s="89"/>
      <c r="L13" s="89"/>
      <c r="M13" s="89"/>
    </row>
    <row r="14" spans="1:14" x14ac:dyDescent="0.25">
      <c r="A14" s="8" t="s">
        <v>12</v>
      </c>
      <c r="C14" s="9">
        <f>1.5</f>
        <v>1.5</v>
      </c>
      <c r="G14" s="2"/>
      <c r="H14" s="90"/>
      <c r="I14" s="29"/>
      <c r="J14" s="90"/>
      <c r="K14" s="91"/>
      <c r="L14" s="92"/>
      <c r="M14" s="93"/>
      <c r="N14" s="1"/>
    </row>
    <row r="15" spans="1:14" x14ac:dyDescent="0.25">
      <c r="A15" s="8" t="s">
        <v>35</v>
      </c>
      <c r="C15" s="9">
        <f>878</f>
        <v>878</v>
      </c>
      <c r="G15" s="2"/>
      <c r="H15" s="90"/>
      <c r="I15" s="29"/>
      <c r="J15" s="90"/>
      <c r="K15" s="92"/>
      <c r="L15" s="92"/>
      <c r="M15" s="93"/>
      <c r="N15" s="1"/>
    </row>
    <row r="16" spans="1:14" x14ac:dyDescent="0.25">
      <c r="A16" s="6" t="s">
        <v>36</v>
      </c>
      <c r="C16" s="9"/>
      <c r="H16" s="90"/>
      <c r="I16" s="29"/>
      <c r="J16" s="90"/>
      <c r="K16" s="91"/>
      <c r="L16" s="92"/>
      <c r="M16" s="93"/>
      <c r="N16" s="1"/>
    </row>
    <row r="17" spans="1:14" x14ac:dyDescent="0.25">
      <c r="A17" s="8" t="s">
        <v>25</v>
      </c>
      <c r="C17" s="9"/>
      <c r="H17" s="90"/>
      <c r="I17" s="29"/>
      <c r="J17" s="90"/>
      <c r="K17" s="91"/>
      <c r="L17" s="92"/>
      <c r="M17" s="93"/>
      <c r="N17" s="1"/>
    </row>
    <row r="18" spans="1:14" x14ac:dyDescent="0.25">
      <c r="A18" s="8" t="s">
        <v>26</v>
      </c>
      <c r="C18" s="9">
        <v>13459</v>
      </c>
      <c r="H18" s="90"/>
      <c r="I18" s="29"/>
      <c r="J18" s="90"/>
      <c r="K18" s="91"/>
      <c r="L18" s="92"/>
      <c r="M18" s="93"/>
      <c r="N18" s="1"/>
    </row>
    <row r="19" spans="1:14" x14ac:dyDescent="0.25">
      <c r="A19" s="8" t="s">
        <v>71</v>
      </c>
      <c r="C19" s="9">
        <f>360+360</f>
        <v>720</v>
      </c>
      <c r="H19" s="90"/>
      <c r="I19" s="29"/>
      <c r="J19" s="90"/>
      <c r="K19" s="92"/>
      <c r="L19" s="92"/>
      <c r="M19" s="93"/>
      <c r="N19" s="1"/>
    </row>
    <row r="20" spans="1:14" x14ac:dyDescent="0.25">
      <c r="A20" s="8" t="s">
        <v>41</v>
      </c>
      <c r="C20" s="9">
        <v>8882</v>
      </c>
      <c r="H20" s="90"/>
      <c r="I20" s="29"/>
      <c r="J20" s="90"/>
      <c r="K20" s="92"/>
      <c r="L20" s="92"/>
      <c r="M20" s="93"/>
      <c r="N20" s="1"/>
    </row>
    <row r="21" spans="1:14" ht="15.75" thickBot="1" x14ac:dyDescent="0.3">
      <c r="A21" s="4" t="s">
        <v>24</v>
      </c>
      <c r="B21" s="10"/>
      <c r="C21" s="5">
        <f>SUM(C11:C20)</f>
        <v>28064.5</v>
      </c>
      <c r="H21" s="90"/>
      <c r="I21" s="29"/>
      <c r="J21" s="90"/>
      <c r="K21" s="92"/>
      <c r="L21" s="92"/>
      <c r="M21" s="93"/>
      <c r="N21" s="1"/>
    </row>
    <row r="22" spans="1:14" x14ac:dyDescent="0.25">
      <c r="H22" s="90"/>
      <c r="I22" s="29"/>
      <c r="J22" s="90"/>
      <c r="K22" s="92"/>
      <c r="L22" s="92"/>
      <c r="M22" s="93"/>
      <c r="N22" s="1"/>
    </row>
    <row r="23" spans="1:14" ht="15.75" x14ac:dyDescent="0.25">
      <c r="A23" s="13" t="s">
        <v>50</v>
      </c>
      <c r="C23" s="11">
        <f>C6-C21</f>
        <v>-22507.5</v>
      </c>
      <c r="H23" s="90"/>
      <c r="I23" s="29"/>
      <c r="J23" s="90"/>
      <c r="K23" s="91"/>
      <c r="L23" s="92"/>
      <c r="M23" s="93"/>
      <c r="N23" s="1"/>
    </row>
    <row r="24" spans="1:14" x14ac:dyDescent="0.25">
      <c r="H24" s="90"/>
      <c r="I24" s="29"/>
      <c r="J24" s="90"/>
      <c r="K24" s="92"/>
      <c r="L24" s="92"/>
      <c r="M24" s="93"/>
      <c r="N24" s="1"/>
    </row>
    <row r="25" spans="1:14" x14ac:dyDescent="0.25">
      <c r="H25" s="90"/>
      <c r="I25" s="29"/>
      <c r="J25" s="90"/>
      <c r="K25" s="91"/>
      <c r="L25" s="92"/>
      <c r="M25" s="93"/>
      <c r="N25" s="1"/>
    </row>
    <row r="26" spans="1:14" x14ac:dyDescent="0.25">
      <c r="A26" s="6" t="s">
        <v>112</v>
      </c>
      <c r="H26" s="90"/>
      <c r="I26" s="29"/>
      <c r="J26" s="90"/>
      <c r="K26" s="91"/>
      <c r="L26" s="92"/>
      <c r="M26" s="1"/>
      <c r="N26" s="1"/>
    </row>
    <row r="27" spans="1:14" x14ac:dyDescent="0.25">
      <c r="A27" s="2">
        <v>41609</v>
      </c>
      <c r="C27" s="15">
        <v>113308.97</v>
      </c>
    </row>
    <row r="28" spans="1:14" x14ac:dyDescent="0.25">
      <c r="A28" s="28">
        <v>41639</v>
      </c>
      <c r="B28" s="16"/>
      <c r="C28" s="17">
        <f>C27+C23</f>
        <v>90801.47</v>
      </c>
    </row>
    <row r="29" spans="1:14" x14ac:dyDescent="0.25">
      <c r="A29" s="12" t="s">
        <v>24</v>
      </c>
      <c r="C29" s="15">
        <f>C28-C27</f>
        <v>-22507.5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E23" sqref="E23"/>
    </sheetView>
  </sheetViews>
  <sheetFormatPr defaultColWidth="8.85546875" defaultRowHeight="15" x14ac:dyDescent="0.25"/>
  <cols>
    <col min="1" max="1" width="12.7109375" style="48" customWidth="1"/>
    <col min="2" max="2" width="15.28515625" style="48" customWidth="1"/>
    <col min="3" max="3" width="15.7109375" style="48" customWidth="1"/>
    <col min="4" max="4" width="8.85546875" style="48"/>
    <col min="5" max="5" width="13.28515625" style="48" bestFit="1" customWidth="1"/>
    <col min="6" max="8" width="8.85546875" style="48"/>
    <col min="9" max="9" width="11.85546875" style="48" customWidth="1"/>
    <col min="10" max="16384" width="8.85546875" style="48"/>
  </cols>
  <sheetData>
    <row r="1" spans="1:10" ht="20.25" x14ac:dyDescent="0.3">
      <c r="A1" s="18" t="s">
        <v>108</v>
      </c>
    </row>
    <row r="2" spans="1:10" ht="15.75" x14ac:dyDescent="0.25">
      <c r="A2" s="19" t="s">
        <v>29</v>
      </c>
    </row>
    <row r="3" spans="1:10" x14ac:dyDescent="0.25">
      <c r="A3" s="48" t="s">
        <v>2</v>
      </c>
      <c r="C3" s="20">
        <v>100</v>
      </c>
      <c r="H3" s="49"/>
      <c r="I3" s="50"/>
      <c r="J3" s="51"/>
    </row>
    <row r="4" spans="1:10" x14ac:dyDescent="0.25">
      <c r="A4" s="48" t="s">
        <v>40</v>
      </c>
      <c r="C4" s="3">
        <v>19670</v>
      </c>
      <c r="H4" s="49"/>
      <c r="I4" s="50"/>
      <c r="J4" s="54"/>
    </row>
    <row r="5" spans="1:10" x14ac:dyDescent="0.25">
      <c r="A5" s="48" t="s">
        <v>39</v>
      </c>
      <c r="C5" s="3">
        <v>500</v>
      </c>
      <c r="H5" s="49"/>
      <c r="I5" s="50"/>
      <c r="J5" s="51"/>
    </row>
    <row r="6" spans="1:10" ht="15.75" thickBot="1" x14ac:dyDescent="0.3">
      <c r="A6" s="4" t="s">
        <v>24</v>
      </c>
      <c r="B6" s="4"/>
      <c r="C6" s="5">
        <f>SUM(C3:C5)</f>
        <v>20270</v>
      </c>
      <c r="H6" s="49"/>
      <c r="I6" s="50"/>
      <c r="J6" s="51"/>
    </row>
    <row r="7" spans="1:10" x14ac:dyDescent="0.25">
      <c r="C7" s="3"/>
      <c r="H7" s="49"/>
      <c r="I7" s="54"/>
      <c r="J7" s="51"/>
    </row>
    <row r="8" spans="1:10" x14ac:dyDescent="0.25">
      <c r="C8" s="3"/>
      <c r="H8" s="49"/>
      <c r="I8" s="50"/>
      <c r="J8" s="51"/>
    </row>
    <row r="9" spans="1:10" ht="15.75" x14ac:dyDescent="0.25">
      <c r="A9" s="13" t="s">
        <v>28</v>
      </c>
      <c r="C9" s="3"/>
      <c r="H9" s="49"/>
      <c r="I9" s="50"/>
      <c r="J9" s="51"/>
    </row>
    <row r="10" spans="1:10" x14ac:dyDescent="0.25">
      <c r="A10" s="6" t="s">
        <v>34</v>
      </c>
      <c r="C10" s="9"/>
    </row>
    <row r="11" spans="1:10" x14ac:dyDescent="0.25">
      <c r="A11" s="8" t="s">
        <v>12</v>
      </c>
      <c r="C11" s="9">
        <v>3</v>
      </c>
    </row>
    <row r="12" spans="1:10" x14ac:dyDescent="0.25">
      <c r="A12" s="8" t="s">
        <v>109</v>
      </c>
      <c r="C12" s="9">
        <v>1800</v>
      </c>
    </row>
    <row r="13" spans="1:10" x14ac:dyDescent="0.25">
      <c r="A13" s="6" t="s">
        <v>36</v>
      </c>
      <c r="C13" s="9"/>
    </row>
    <row r="14" spans="1:10" x14ac:dyDescent="0.25">
      <c r="A14" s="8" t="s">
        <v>25</v>
      </c>
      <c r="C14" s="9">
        <v>2850.7</v>
      </c>
    </row>
    <row r="15" spans="1:10" x14ac:dyDescent="0.25">
      <c r="A15" s="8" t="s">
        <v>26</v>
      </c>
      <c r="C15" s="9">
        <v>13459</v>
      </c>
    </row>
    <row r="16" spans="1:10" x14ac:dyDescent="0.25">
      <c r="A16" s="8" t="s">
        <v>41</v>
      </c>
      <c r="C16" s="9">
        <v>10086.530000000001</v>
      </c>
    </row>
    <row r="17" spans="1:7" ht="15.75" thickBot="1" x14ac:dyDescent="0.3">
      <c r="A17" s="4" t="s">
        <v>24</v>
      </c>
      <c r="B17" s="10"/>
      <c r="C17" s="5">
        <f>SUM(C10:C16)</f>
        <v>28199.230000000003</v>
      </c>
    </row>
    <row r="19" spans="1:7" ht="15.75" x14ac:dyDescent="0.25">
      <c r="A19" s="13" t="s">
        <v>50</v>
      </c>
      <c r="C19" s="11">
        <f>C6-C17</f>
        <v>-7929.2300000000032</v>
      </c>
    </row>
    <row r="20" spans="1:7" x14ac:dyDescent="0.25">
      <c r="G20" s="54"/>
    </row>
    <row r="22" spans="1:7" x14ac:dyDescent="0.25">
      <c r="A22" s="6" t="s">
        <v>44</v>
      </c>
    </row>
    <row r="23" spans="1:7" x14ac:dyDescent="0.25">
      <c r="A23" s="2">
        <v>41579</v>
      </c>
      <c r="C23" s="24">
        <v>121238.2</v>
      </c>
      <c r="E23" s="84"/>
    </row>
    <row r="24" spans="1:7" x14ac:dyDescent="0.25">
      <c r="A24" s="28">
        <v>41608</v>
      </c>
      <c r="B24" s="16"/>
      <c r="C24" s="17">
        <f>C23+C19</f>
        <v>113308.97</v>
      </c>
    </row>
    <row r="25" spans="1:7" x14ac:dyDescent="0.25">
      <c r="A25" s="12" t="s">
        <v>24</v>
      </c>
      <c r="C25" s="15">
        <f>C24-C23</f>
        <v>-7929.2299999999959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C29" sqref="C29"/>
    </sheetView>
  </sheetViews>
  <sheetFormatPr defaultColWidth="8.85546875" defaultRowHeight="15" x14ac:dyDescent="0.25"/>
  <cols>
    <col min="1" max="1" width="12.7109375" style="48" customWidth="1"/>
    <col min="2" max="2" width="15.28515625" style="48" customWidth="1"/>
    <col min="3" max="3" width="15.7109375" style="48" customWidth="1"/>
    <col min="4" max="8" width="8.85546875" style="48"/>
    <col min="9" max="9" width="10.28515625" style="48" customWidth="1"/>
    <col min="10" max="10" width="10" style="48" customWidth="1"/>
    <col min="11" max="16384" width="8.85546875" style="48"/>
  </cols>
  <sheetData>
    <row r="1" spans="1:10" ht="20.25" x14ac:dyDescent="0.3">
      <c r="A1" s="18" t="s">
        <v>99</v>
      </c>
    </row>
    <row r="2" spans="1:10" ht="15.75" x14ac:dyDescent="0.25">
      <c r="A2" s="19" t="s">
        <v>29</v>
      </c>
    </row>
    <row r="3" spans="1:10" x14ac:dyDescent="0.25">
      <c r="A3" s="48" t="s">
        <v>40</v>
      </c>
      <c r="C3" s="3">
        <f>27699</f>
        <v>27699</v>
      </c>
      <c r="D3" s="48" t="s">
        <v>103</v>
      </c>
      <c r="H3" s="49"/>
      <c r="I3" s="50"/>
      <c r="J3" s="51"/>
    </row>
    <row r="4" spans="1:10" x14ac:dyDescent="0.25">
      <c r="A4" s="48" t="s">
        <v>39</v>
      </c>
      <c r="C4" s="3">
        <f>5000+500</f>
        <v>5500</v>
      </c>
      <c r="H4" s="49"/>
      <c r="I4" s="50"/>
      <c r="J4" s="51"/>
    </row>
    <row r="5" spans="1:10" ht="15.75" thickBot="1" x14ac:dyDescent="0.3">
      <c r="A5" s="4" t="s">
        <v>24</v>
      </c>
      <c r="B5" s="4"/>
      <c r="C5" s="5">
        <f>SUM(C3:C4)</f>
        <v>33199</v>
      </c>
      <c r="H5" s="49"/>
      <c r="I5" s="50"/>
      <c r="J5" s="51"/>
    </row>
    <row r="6" spans="1:10" x14ac:dyDescent="0.25">
      <c r="C6" s="3"/>
      <c r="H6" s="49"/>
      <c r="I6" s="50"/>
      <c r="J6" s="51"/>
    </row>
    <row r="7" spans="1:10" x14ac:dyDescent="0.25">
      <c r="C7" s="3"/>
      <c r="H7" s="49"/>
      <c r="I7" s="50"/>
      <c r="J7" s="51"/>
    </row>
    <row r="8" spans="1:10" ht="15.75" x14ac:dyDescent="0.25">
      <c r="A8" s="13" t="s">
        <v>28</v>
      </c>
      <c r="C8" s="3"/>
      <c r="H8" s="49"/>
      <c r="I8" s="50"/>
      <c r="J8" s="51"/>
    </row>
    <row r="9" spans="1:10" x14ac:dyDescent="0.25">
      <c r="A9" s="6" t="s">
        <v>104</v>
      </c>
      <c r="C9" s="9"/>
      <c r="H9" s="49"/>
      <c r="I9" s="50"/>
      <c r="J9" s="51"/>
    </row>
    <row r="10" spans="1:10" x14ac:dyDescent="0.25">
      <c r="A10" s="8" t="s">
        <v>105</v>
      </c>
      <c r="C10" s="9">
        <v>393</v>
      </c>
      <c r="H10" s="49"/>
      <c r="I10" s="50"/>
      <c r="J10" s="51"/>
    </row>
    <row r="11" spans="1:10" x14ac:dyDescent="0.25">
      <c r="A11" s="8" t="s">
        <v>106</v>
      </c>
      <c r="C11" s="9">
        <v>720</v>
      </c>
      <c r="H11" s="49"/>
      <c r="I11" s="50"/>
      <c r="J11" s="51"/>
    </row>
    <row r="12" spans="1:10" x14ac:dyDescent="0.25">
      <c r="A12" s="6" t="s">
        <v>34</v>
      </c>
      <c r="C12" s="9"/>
      <c r="H12" s="49"/>
      <c r="I12" s="50"/>
      <c r="J12" s="51"/>
    </row>
    <row r="13" spans="1:10" x14ac:dyDescent="0.25">
      <c r="A13" s="8" t="s">
        <v>12</v>
      </c>
      <c r="C13" s="9">
        <f>4.5</f>
        <v>4.5</v>
      </c>
      <c r="H13" s="49"/>
      <c r="I13" s="50"/>
      <c r="J13" s="51"/>
    </row>
    <row r="14" spans="1:10" x14ac:dyDescent="0.25">
      <c r="A14" s="8" t="s">
        <v>35</v>
      </c>
      <c r="C14" s="9">
        <f>804.79+559</f>
        <v>1363.79</v>
      </c>
      <c r="H14" s="49"/>
      <c r="I14" s="50"/>
      <c r="J14" s="51"/>
    </row>
    <row r="15" spans="1:10" x14ac:dyDescent="0.25">
      <c r="A15" s="8" t="s">
        <v>107</v>
      </c>
      <c r="C15" s="9">
        <v>1240</v>
      </c>
      <c r="H15" s="49"/>
      <c r="I15" s="50"/>
      <c r="J15" s="51"/>
    </row>
    <row r="16" spans="1:10" x14ac:dyDescent="0.25">
      <c r="A16" s="8" t="s">
        <v>102</v>
      </c>
      <c r="C16" s="9">
        <v>3588</v>
      </c>
      <c r="H16" s="49"/>
      <c r="I16" s="50"/>
      <c r="J16" s="51"/>
    </row>
    <row r="17" spans="1:3" x14ac:dyDescent="0.25">
      <c r="A17" s="6" t="s">
        <v>36</v>
      </c>
      <c r="C17" s="9"/>
    </row>
    <row r="18" spans="1:3" x14ac:dyDescent="0.25">
      <c r="A18" s="8" t="s">
        <v>25</v>
      </c>
      <c r="C18" s="9">
        <f>7797</f>
        <v>7797</v>
      </c>
    </row>
    <row r="19" spans="1:3" x14ac:dyDescent="0.25">
      <c r="A19" s="8" t="s">
        <v>26</v>
      </c>
      <c r="C19" s="9">
        <v>13459</v>
      </c>
    </row>
    <row r="20" spans="1:3" x14ac:dyDescent="0.25">
      <c r="A20" s="8" t="s">
        <v>71</v>
      </c>
      <c r="C20" s="9">
        <v>360</v>
      </c>
    </row>
    <row r="21" spans="1:3" x14ac:dyDescent="0.25">
      <c r="A21" s="8" t="s">
        <v>41</v>
      </c>
      <c r="C21" s="9">
        <v>12913</v>
      </c>
    </row>
    <row r="22" spans="1:3" ht="15.75" thickBot="1" x14ac:dyDescent="0.3">
      <c r="A22" s="4" t="s">
        <v>24</v>
      </c>
      <c r="B22" s="10"/>
      <c r="C22" s="5">
        <f>SUM(C9:C21)</f>
        <v>41838.29</v>
      </c>
    </row>
    <row r="24" spans="1:3" ht="15.75" x14ac:dyDescent="0.25">
      <c r="A24" s="13" t="s">
        <v>100</v>
      </c>
      <c r="C24" s="11">
        <f>C5-C22</f>
        <v>-8639.2900000000009</v>
      </c>
    </row>
    <row r="27" spans="1:3" x14ac:dyDescent="0.25">
      <c r="A27" s="6" t="s">
        <v>101</v>
      </c>
    </row>
    <row r="28" spans="1:3" x14ac:dyDescent="0.25">
      <c r="A28" s="2">
        <v>41548</v>
      </c>
      <c r="C28" s="15">
        <v>129877.49</v>
      </c>
    </row>
    <row r="29" spans="1:3" x14ac:dyDescent="0.25">
      <c r="A29" s="28">
        <v>41578</v>
      </c>
      <c r="B29" s="16"/>
      <c r="C29" s="17">
        <f>C28+C24</f>
        <v>121238.20000000001</v>
      </c>
    </row>
    <row r="30" spans="1:3" x14ac:dyDescent="0.25">
      <c r="A30" s="12" t="s">
        <v>24</v>
      </c>
      <c r="C30" s="15">
        <f>C29-C28</f>
        <v>-8639.2899999999936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4" workbookViewId="0">
      <selection activeCell="C22" sqref="C22"/>
    </sheetView>
  </sheetViews>
  <sheetFormatPr defaultColWidth="8.85546875" defaultRowHeight="15" x14ac:dyDescent="0.25"/>
  <cols>
    <col min="1" max="1" width="12.7109375" style="48" customWidth="1"/>
    <col min="2" max="2" width="15.28515625" style="48" customWidth="1"/>
    <col min="3" max="3" width="15.7109375" style="48" customWidth="1"/>
    <col min="4" max="5" width="8.85546875" style="48"/>
    <col min="6" max="6" width="10.7109375" style="48" customWidth="1"/>
    <col min="7" max="7" width="13.28515625" style="48" customWidth="1"/>
    <col min="8" max="16384" width="8.85546875" style="48"/>
  </cols>
  <sheetData>
    <row r="1" spans="1:7" ht="20.25" x14ac:dyDescent="0.3">
      <c r="A1" s="18" t="s">
        <v>17</v>
      </c>
    </row>
    <row r="2" spans="1:7" ht="15.75" x14ac:dyDescent="0.25">
      <c r="A2" s="19" t="s">
        <v>29</v>
      </c>
    </row>
    <row r="3" spans="1:7" x14ac:dyDescent="0.25">
      <c r="A3" s="48" t="s">
        <v>40</v>
      </c>
      <c r="C3" s="3">
        <f>39030</f>
        <v>39030</v>
      </c>
      <c r="E3" s="49"/>
      <c r="F3" s="50"/>
      <c r="G3" s="51"/>
    </row>
    <row r="4" spans="1:7" x14ac:dyDescent="0.25">
      <c r="A4" s="48" t="s">
        <v>39</v>
      </c>
      <c r="C4" s="3">
        <f>5000+60+500</f>
        <v>5560</v>
      </c>
      <c r="E4" s="49"/>
      <c r="F4" s="50"/>
      <c r="G4" s="51"/>
    </row>
    <row r="5" spans="1:7" ht="15.75" thickBot="1" x14ac:dyDescent="0.3">
      <c r="A5" s="4" t="s">
        <v>24</v>
      </c>
      <c r="B5" s="4"/>
      <c r="C5" s="5">
        <f>SUM(C3:C4)</f>
        <v>44590</v>
      </c>
      <c r="E5" s="49"/>
      <c r="F5" s="50"/>
      <c r="G5" s="51"/>
    </row>
    <row r="6" spans="1:7" x14ac:dyDescent="0.25">
      <c r="C6" s="3"/>
      <c r="E6" s="49"/>
      <c r="F6" s="50"/>
      <c r="G6" s="51"/>
    </row>
    <row r="7" spans="1:7" x14ac:dyDescent="0.25">
      <c r="C7" s="3"/>
      <c r="E7" s="49"/>
      <c r="F7" s="50"/>
      <c r="G7" s="51"/>
    </row>
    <row r="8" spans="1:7" ht="15.75" x14ac:dyDescent="0.25">
      <c r="A8" s="13" t="s">
        <v>28</v>
      </c>
      <c r="C8" s="3"/>
      <c r="E8" s="49"/>
      <c r="F8" s="50"/>
      <c r="G8" s="51"/>
    </row>
    <row r="9" spans="1:7" x14ac:dyDescent="0.25">
      <c r="A9" s="6" t="s">
        <v>31</v>
      </c>
      <c r="B9" s="7"/>
      <c r="C9" s="3"/>
      <c r="E9" s="49"/>
      <c r="F9" s="50"/>
      <c r="G9" s="51"/>
    </row>
    <row r="10" spans="1:7" x14ac:dyDescent="0.25">
      <c r="A10" s="8" t="s">
        <v>32</v>
      </c>
      <c r="C10" s="9">
        <f>642+880</f>
        <v>1522</v>
      </c>
      <c r="E10" s="49"/>
      <c r="F10" s="50"/>
      <c r="G10" s="51"/>
    </row>
    <row r="11" spans="1:7" x14ac:dyDescent="0.25">
      <c r="A11" s="6" t="s">
        <v>60</v>
      </c>
      <c r="C11" s="9"/>
      <c r="E11" s="49"/>
      <c r="F11" s="50"/>
      <c r="G11" s="51"/>
    </row>
    <row r="12" spans="1:7" x14ac:dyDescent="0.25">
      <c r="A12" s="8" t="s">
        <v>96</v>
      </c>
      <c r="C12" s="9">
        <v>139</v>
      </c>
      <c r="E12" s="49"/>
      <c r="F12" s="50"/>
      <c r="G12" s="51"/>
    </row>
    <row r="13" spans="1:7" x14ac:dyDescent="0.25">
      <c r="A13" s="8" t="s">
        <v>73</v>
      </c>
      <c r="C13" s="9">
        <v>2675</v>
      </c>
      <c r="E13" s="49"/>
      <c r="F13" s="50"/>
      <c r="G13" s="51"/>
    </row>
    <row r="14" spans="1:7" x14ac:dyDescent="0.25">
      <c r="A14" s="6" t="s">
        <v>34</v>
      </c>
      <c r="C14" s="9"/>
      <c r="E14" s="49"/>
      <c r="F14" s="50"/>
      <c r="G14" s="51"/>
    </row>
    <row r="15" spans="1:7" x14ac:dyDescent="0.25">
      <c r="A15" s="8" t="s">
        <v>12</v>
      </c>
      <c r="C15" s="9">
        <v>1.5</v>
      </c>
      <c r="E15" s="49"/>
      <c r="F15" s="50"/>
      <c r="G15" s="51"/>
    </row>
    <row r="16" spans="1:7" x14ac:dyDescent="0.25">
      <c r="A16" s="8" t="s">
        <v>35</v>
      </c>
      <c r="C16" s="9">
        <v>878</v>
      </c>
      <c r="E16" s="49"/>
      <c r="F16" s="50"/>
      <c r="G16" s="51"/>
    </row>
    <row r="17" spans="1:7" x14ac:dyDescent="0.25">
      <c r="A17" s="8" t="s">
        <v>75</v>
      </c>
      <c r="C17" s="9">
        <v>2608</v>
      </c>
      <c r="E17" s="49"/>
      <c r="F17" s="50"/>
      <c r="G17" s="51"/>
    </row>
    <row r="18" spans="1:7" x14ac:dyDescent="0.25">
      <c r="A18" s="6" t="s">
        <v>36</v>
      </c>
      <c r="C18" s="9"/>
    </row>
    <row r="19" spans="1:7" x14ac:dyDescent="0.25">
      <c r="A19" s="8" t="s">
        <v>25</v>
      </c>
      <c r="C19" s="9">
        <v>9772</v>
      </c>
    </row>
    <row r="20" spans="1:7" x14ac:dyDescent="0.25">
      <c r="A20" s="8" t="s">
        <v>26</v>
      </c>
      <c r="C20" s="9">
        <v>13459</v>
      </c>
    </row>
    <row r="21" spans="1:7" x14ac:dyDescent="0.25">
      <c r="A21" s="8" t="s">
        <v>71</v>
      </c>
      <c r="C21" s="9">
        <v>360</v>
      </c>
    </row>
    <row r="22" spans="1:7" x14ac:dyDescent="0.25">
      <c r="A22" s="8" t="s">
        <v>41</v>
      </c>
      <c r="C22" s="9">
        <v>13754</v>
      </c>
    </row>
    <row r="23" spans="1:7" ht="15.75" thickBot="1" x14ac:dyDescent="0.3">
      <c r="A23" s="4" t="s">
        <v>24</v>
      </c>
      <c r="B23" s="10"/>
      <c r="C23" s="5">
        <f>SUM(C10:C22)</f>
        <v>45168.5</v>
      </c>
    </row>
    <row r="25" spans="1:7" ht="15.75" x14ac:dyDescent="0.25">
      <c r="A25" s="13" t="s">
        <v>97</v>
      </c>
      <c r="C25" s="11">
        <f>C5-C23</f>
        <v>-578.5</v>
      </c>
    </row>
    <row r="28" spans="1:7" x14ac:dyDescent="0.25">
      <c r="A28" s="6" t="s">
        <v>98</v>
      </c>
    </row>
    <row r="29" spans="1:7" x14ac:dyDescent="0.25">
      <c r="A29" s="2">
        <v>41518</v>
      </c>
      <c r="C29" s="15">
        <v>130455.99</v>
      </c>
    </row>
    <row r="30" spans="1:7" x14ac:dyDescent="0.25">
      <c r="A30" s="28">
        <v>41547</v>
      </c>
      <c r="B30" s="16"/>
      <c r="C30" s="17">
        <f>C29+C25</f>
        <v>129877.49</v>
      </c>
    </row>
    <row r="31" spans="1:7" x14ac:dyDescent="0.25">
      <c r="A31" s="12" t="s">
        <v>24</v>
      </c>
      <c r="C31" s="15">
        <f>C30-C29</f>
        <v>-578.5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G15" sqref="G15"/>
    </sheetView>
  </sheetViews>
  <sheetFormatPr defaultColWidth="8.85546875" defaultRowHeight="15" x14ac:dyDescent="0.25"/>
  <cols>
    <col min="1" max="1" width="12.7109375" style="48" customWidth="1"/>
    <col min="2" max="2" width="15.28515625" style="48" customWidth="1"/>
    <col min="3" max="3" width="15.7109375" style="48" customWidth="1"/>
    <col min="4" max="4" width="8.85546875" style="48"/>
    <col min="5" max="5" width="12.28515625" style="48" bestFit="1" customWidth="1"/>
    <col min="6" max="7" width="8.85546875" style="48"/>
    <col min="8" max="8" width="15.42578125" style="48" customWidth="1"/>
    <col min="9" max="9" width="15.7109375" style="48" customWidth="1"/>
    <col min="10" max="16384" width="8.85546875" style="48"/>
  </cols>
  <sheetData>
    <row r="1" spans="1:9" ht="20.25" x14ac:dyDescent="0.3">
      <c r="A1" s="18" t="s">
        <v>93</v>
      </c>
    </row>
    <row r="2" spans="1:9" ht="15.75" x14ac:dyDescent="0.25">
      <c r="A2" s="19" t="s">
        <v>29</v>
      </c>
    </row>
    <row r="3" spans="1:9" x14ac:dyDescent="0.25">
      <c r="A3" s="48" t="s">
        <v>2</v>
      </c>
      <c r="C3" s="20">
        <f>200+100</f>
        <v>300</v>
      </c>
    </row>
    <row r="4" spans="1:9" x14ac:dyDescent="0.25">
      <c r="A4" s="48" t="s">
        <v>40</v>
      </c>
      <c r="C4" s="3">
        <f>18466+2308</f>
        <v>20774</v>
      </c>
      <c r="D4" s="48" t="s">
        <v>95</v>
      </c>
    </row>
    <row r="5" spans="1:9" x14ac:dyDescent="0.25">
      <c r="A5" s="48" t="s">
        <v>39</v>
      </c>
      <c r="C5" s="3">
        <f>5500</f>
        <v>5500</v>
      </c>
    </row>
    <row r="6" spans="1:9" ht="15.75" thickBot="1" x14ac:dyDescent="0.3">
      <c r="A6" s="4" t="s">
        <v>24</v>
      </c>
      <c r="B6" s="4"/>
      <c r="C6" s="5">
        <f>SUM(C3:C5)</f>
        <v>26574</v>
      </c>
      <c r="G6" s="49"/>
      <c r="H6" s="50"/>
      <c r="I6" s="51"/>
    </row>
    <row r="7" spans="1:9" x14ac:dyDescent="0.25">
      <c r="C7" s="3"/>
      <c r="G7" s="49"/>
      <c r="H7" s="50"/>
      <c r="I7" s="51"/>
    </row>
    <row r="8" spans="1:9" x14ac:dyDescent="0.25">
      <c r="C8" s="3"/>
      <c r="G8" s="49"/>
      <c r="H8" s="50"/>
      <c r="I8" s="51"/>
    </row>
    <row r="9" spans="1:9" ht="15.75" x14ac:dyDescent="0.25">
      <c r="A9" s="13" t="s">
        <v>28</v>
      </c>
      <c r="C9" s="3"/>
      <c r="G9" s="49"/>
      <c r="H9" s="50"/>
      <c r="I9" s="51"/>
    </row>
    <row r="10" spans="1:9" x14ac:dyDescent="0.25">
      <c r="A10" s="6" t="s">
        <v>31</v>
      </c>
      <c r="B10" s="7"/>
      <c r="C10" s="3"/>
      <c r="G10" s="49"/>
      <c r="H10" s="50"/>
      <c r="I10" s="51"/>
    </row>
    <row r="11" spans="1:9" x14ac:dyDescent="0.25">
      <c r="A11" s="8" t="s">
        <v>32</v>
      </c>
      <c r="C11" s="9">
        <v>200</v>
      </c>
      <c r="G11" s="49"/>
      <c r="H11" s="50"/>
      <c r="I11" s="51"/>
    </row>
    <row r="12" spans="1:9" x14ac:dyDescent="0.25">
      <c r="A12" s="6" t="s">
        <v>34</v>
      </c>
      <c r="C12" s="9"/>
      <c r="G12" s="49"/>
      <c r="H12" s="50"/>
      <c r="I12" s="65"/>
    </row>
    <row r="13" spans="1:9" x14ac:dyDescent="0.25">
      <c r="A13" s="8" t="s">
        <v>12</v>
      </c>
      <c r="C13" s="9">
        <f>6</f>
        <v>6</v>
      </c>
      <c r="G13" s="49"/>
      <c r="H13" s="50"/>
      <c r="I13" s="51"/>
    </row>
    <row r="14" spans="1:9" x14ac:dyDescent="0.25">
      <c r="A14" s="6" t="s">
        <v>36</v>
      </c>
      <c r="C14" s="9"/>
    </row>
    <row r="15" spans="1:9" x14ac:dyDescent="0.25">
      <c r="A15" s="8" t="s">
        <v>25</v>
      </c>
      <c r="C15" s="9"/>
    </row>
    <row r="16" spans="1:9" x14ac:dyDescent="0.25">
      <c r="A16" s="8" t="s">
        <v>26</v>
      </c>
      <c r="C16" s="9">
        <v>13459</v>
      </c>
      <c r="E16" s="86"/>
    </row>
    <row r="17" spans="1:3" x14ac:dyDescent="0.25">
      <c r="A17" s="8" t="s">
        <v>71</v>
      </c>
      <c r="C17" s="9">
        <v>360</v>
      </c>
    </row>
    <row r="18" spans="1:3" x14ac:dyDescent="0.25">
      <c r="A18" s="8" t="s">
        <v>41</v>
      </c>
      <c r="C18" s="9">
        <v>8882</v>
      </c>
    </row>
    <row r="19" spans="1:3" ht="15.75" thickBot="1" x14ac:dyDescent="0.3">
      <c r="A19" s="4" t="s">
        <v>24</v>
      </c>
      <c r="B19" s="10"/>
      <c r="C19" s="5">
        <f>SUM(C11:C18)</f>
        <v>22907</v>
      </c>
    </row>
    <row r="21" spans="1:3" ht="15.75" x14ac:dyDescent="0.25">
      <c r="A21" s="13" t="s">
        <v>94</v>
      </c>
      <c r="C21" s="11">
        <f>C6-C19</f>
        <v>3667</v>
      </c>
    </row>
    <row r="24" spans="1:3" x14ac:dyDescent="0.25">
      <c r="A24" s="6" t="s">
        <v>44</v>
      </c>
    </row>
    <row r="25" spans="1:3" x14ac:dyDescent="0.25">
      <c r="A25" s="2">
        <v>41487</v>
      </c>
      <c r="C25" s="15">
        <v>126788.99</v>
      </c>
    </row>
    <row r="26" spans="1:3" x14ac:dyDescent="0.25">
      <c r="A26" s="28">
        <v>41517</v>
      </c>
      <c r="B26" s="16"/>
      <c r="C26" s="17">
        <f>C25+C21</f>
        <v>130455.99</v>
      </c>
    </row>
    <row r="27" spans="1:3" x14ac:dyDescent="0.25">
      <c r="A27" s="12" t="s">
        <v>24</v>
      </c>
      <c r="C27" s="15">
        <f>C26-C25</f>
        <v>3667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4" workbookViewId="0">
      <selection activeCell="C30" sqref="C30"/>
    </sheetView>
  </sheetViews>
  <sheetFormatPr defaultColWidth="8.85546875" defaultRowHeight="15" x14ac:dyDescent="0.25"/>
  <cols>
    <col min="1" max="1" width="12.7109375" style="48" customWidth="1"/>
    <col min="2" max="2" width="20" style="48" customWidth="1"/>
    <col min="3" max="3" width="15.7109375" style="48" customWidth="1"/>
    <col min="4" max="4" width="10.28515625" style="48" bestFit="1" customWidth="1"/>
    <col min="5" max="5" width="8.7109375" style="48" customWidth="1"/>
    <col min="6" max="6" width="14.28515625" style="48" customWidth="1"/>
    <col min="7" max="16384" width="8.85546875" style="48"/>
  </cols>
  <sheetData>
    <row r="1" spans="1:6" ht="20.25" x14ac:dyDescent="0.3">
      <c r="A1" s="18" t="s">
        <v>86</v>
      </c>
    </row>
    <row r="2" spans="1:6" ht="15.75" x14ac:dyDescent="0.25">
      <c r="A2" s="19" t="s">
        <v>29</v>
      </c>
      <c r="E2" s="2"/>
      <c r="F2" s="85"/>
    </row>
    <row r="3" spans="1:6" x14ac:dyDescent="0.25">
      <c r="A3" s="48" t="s">
        <v>2</v>
      </c>
      <c r="C3" s="20">
        <f>200+500</f>
        <v>700</v>
      </c>
      <c r="E3" s="2"/>
    </row>
    <row r="4" spans="1:6" x14ac:dyDescent="0.25">
      <c r="A4" s="48" t="s">
        <v>40</v>
      </c>
      <c r="C4" s="3">
        <v>8832</v>
      </c>
      <c r="D4" s="2">
        <v>41457</v>
      </c>
      <c r="E4" s="2"/>
      <c r="F4" s="85"/>
    </row>
    <row r="5" spans="1:6" x14ac:dyDescent="0.25">
      <c r="A5" s="48" t="s">
        <v>39</v>
      </c>
      <c r="C5" s="3">
        <f>500</f>
        <v>500</v>
      </c>
      <c r="E5" s="2"/>
      <c r="F5" s="85"/>
    </row>
    <row r="6" spans="1:6" x14ac:dyDescent="0.25">
      <c r="A6" s="48" t="s">
        <v>88</v>
      </c>
      <c r="C6" s="3">
        <f>3000+3000</f>
        <v>6000</v>
      </c>
      <c r="E6" s="2"/>
      <c r="F6" s="85"/>
    </row>
    <row r="7" spans="1:6" x14ac:dyDescent="0.25">
      <c r="A7" s="48" t="s">
        <v>89</v>
      </c>
      <c r="C7" s="3">
        <v>16487</v>
      </c>
      <c r="E7" s="2"/>
      <c r="F7" s="85"/>
    </row>
    <row r="8" spans="1:6" ht="15.75" thickBot="1" x14ac:dyDescent="0.3">
      <c r="A8" s="4" t="s">
        <v>24</v>
      </c>
      <c r="B8" s="4"/>
      <c r="C8" s="5">
        <f>SUM(C3:C7)</f>
        <v>32519</v>
      </c>
      <c r="E8" s="2"/>
    </row>
    <row r="9" spans="1:6" x14ac:dyDescent="0.25">
      <c r="C9" s="3"/>
      <c r="E9" s="2"/>
      <c r="F9" s="85"/>
    </row>
    <row r="10" spans="1:6" x14ac:dyDescent="0.25">
      <c r="C10" s="3"/>
      <c r="E10" s="2"/>
    </row>
    <row r="11" spans="1:6" ht="15.75" x14ac:dyDescent="0.25">
      <c r="A11" s="13" t="s">
        <v>28</v>
      </c>
      <c r="C11" s="3"/>
      <c r="E11" s="2"/>
      <c r="F11" s="85"/>
    </row>
    <row r="12" spans="1:6" x14ac:dyDescent="0.25">
      <c r="A12" s="6" t="s">
        <v>31</v>
      </c>
      <c r="B12" s="7"/>
      <c r="C12" s="3"/>
      <c r="E12" s="2"/>
    </row>
    <row r="13" spans="1:6" x14ac:dyDescent="0.25">
      <c r="A13" s="8" t="s">
        <v>32</v>
      </c>
      <c r="C13" s="9">
        <v>578</v>
      </c>
      <c r="E13" s="2"/>
    </row>
    <row r="14" spans="1:6" x14ac:dyDescent="0.25">
      <c r="A14" s="6" t="s">
        <v>34</v>
      </c>
      <c r="C14" s="9"/>
      <c r="E14" s="2"/>
    </row>
    <row r="15" spans="1:6" x14ac:dyDescent="0.25">
      <c r="A15" s="8" t="s">
        <v>12</v>
      </c>
      <c r="C15" s="9">
        <v>4.5</v>
      </c>
      <c r="E15" s="2"/>
    </row>
    <row r="16" spans="1:6" x14ac:dyDescent="0.25">
      <c r="A16" s="6" t="s">
        <v>36</v>
      </c>
      <c r="C16" s="9"/>
      <c r="E16" s="2"/>
    </row>
    <row r="17" spans="1:7" x14ac:dyDescent="0.25">
      <c r="A17" s="8" t="s">
        <v>25</v>
      </c>
      <c r="C17" s="9">
        <v>1714</v>
      </c>
      <c r="E17" s="2"/>
    </row>
    <row r="18" spans="1:7" x14ac:dyDescent="0.25">
      <c r="A18" s="8" t="s">
        <v>26</v>
      </c>
      <c r="C18" s="9">
        <v>13459</v>
      </c>
      <c r="E18" s="2"/>
    </row>
    <row r="19" spans="1:7" x14ac:dyDescent="0.25">
      <c r="A19" s="8" t="s">
        <v>71</v>
      </c>
      <c r="C19" s="9">
        <v>360</v>
      </c>
    </row>
    <row r="20" spans="1:7" x14ac:dyDescent="0.25">
      <c r="A20" s="8" t="s">
        <v>41</v>
      </c>
      <c r="C20" s="9">
        <f>9421+891+701+701</f>
        <v>11714</v>
      </c>
    </row>
    <row r="21" spans="1:7" x14ac:dyDescent="0.25">
      <c r="A21" s="8" t="s">
        <v>90</v>
      </c>
      <c r="C21" s="9">
        <f>1000+799</f>
        <v>1799</v>
      </c>
    </row>
    <row r="22" spans="1:7" x14ac:dyDescent="0.25">
      <c r="A22" s="8" t="s">
        <v>91</v>
      </c>
      <c r="C22" s="9">
        <v>799</v>
      </c>
    </row>
    <row r="23" spans="1:7" ht="15.75" thickBot="1" x14ac:dyDescent="0.3">
      <c r="A23" s="4" t="s">
        <v>24</v>
      </c>
      <c r="B23" s="10"/>
      <c r="C23" s="5">
        <f>SUM(C13:C22)</f>
        <v>30427.5</v>
      </c>
    </row>
    <row r="25" spans="1:7" ht="15.75" x14ac:dyDescent="0.25">
      <c r="A25" s="13" t="s">
        <v>87</v>
      </c>
      <c r="C25" s="11">
        <f>C8-C23</f>
        <v>2091.5</v>
      </c>
    </row>
    <row r="27" spans="1:7" x14ac:dyDescent="0.25">
      <c r="F27" s="84"/>
      <c r="G27" s="54"/>
    </row>
    <row r="28" spans="1:7" x14ac:dyDescent="0.25">
      <c r="A28" s="6" t="s">
        <v>44</v>
      </c>
    </row>
    <row r="29" spans="1:7" x14ac:dyDescent="0.25">
      <c r="A29" s="2">
        <v>41456</v>
      </c>
      <c r="C29" s="15">
        <v>124697.49</v>
      </c>
    </row>
    <row r="30" spans="1:7" x14ac:dyDescent="0.25">
      <c r="A30" s="28">
        <v>41486</v>
      </c>
      <c r="B30" s="16"/>
      <c r="C30" s="17">
        <f>C29+C25</f>
        <v>126788.99</v>
      </c>
    </row>
    <row r="31" spans="1:7" x14ac:dyDescent="0.25">
      <c r="A31" s="12" t="s">
        <v>24</v>
      </c>
      <c r="C31" s="15">
        <f>C30-C29</f>
        <v>2091.5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4" workbookViewId="0">
      <selection activeCell="C15" sqref="C15"/>
    </sheetView>
  </sheetViews>
  <sheetFormatPr defaultColWidth="8.85546875" defaultRowHeight="15" x14ac:dyDescent="0.25"/>
  <cols>
    <col min="1" max="1" width="12.7109375" style="48" customWidth="1"/>
    <col min="2" max="2" width="15.28515625" style="48" customWidth="1"/>
    <col min="3" max="3" width="15.7109375" style="48" customWidth="1"/>
    <col min="4" max="6" width="8.85546875" style="48"/>
    <col min="7" max="7" width="12.140625" style="48" customWidth="1"/>
    <col min="8" max="8" width="16" style="48" customWidth="1"/>
    <col min="9" max="9" width="35.7109375" style="48" customWidth="1"/>
    <col min="10" max="16384" width="8.85546875" style="48"/>
  </cols>
  <sheetData>
    <row r="1" spans="1:9" ht="20.25" x14ac:dyDescent="0.3">
      <c r="A1" s="18" t="s">
        <v>49</v>
      </c>
    </row>
    <row r="2" spans="1:9" ht="15.75" x14ac:dyDescent="0.25">
      <c r="A2" s="19" t="s">
        <v>29</v>
      </c>
      <c r="G2" s="49"/>
      <c r="H2" s="50"/>
      <c r="I2" s="51"/>
    </row>
    <row r="3" spans="1:9" x14ac:dyDescent="0.25">
      <c r="A3" s="48" t="s">
        <v>2</v>
      </c>
      <c r="C3" s="20">
        <f>100+10000</f>
        <v>10100</v>
      </c>
      <c r="G3" s="49"/>
      <c r="H3" s="50"/>
      <c r="I3" s="51"/>
    </row>
    <row r="4" spans="1:9" x14ac:dyDescent="0.25">
      <c r="A4" s="48" t="s">
        <v>40</v>
      </c>
      <c r="C4" s="3"/>
      <c r="G4" s="49"/>
      <c r="H4" s="50"/>
      <c r="I4" s="54"/>
    </row>
    <row r="5" spans="1:9" x14ac:dyDescent="0.25">
      <c r="A5" s="48" t="s">
        <v>39</v>
      </c>
      <c r="C5" s="3">
        <v>500</v>
      </c>
      <c r="G5" s="49"/>
      <c r="H5" s="50"/>
      <c r="I5" s="51"/>
    </row>
    <row r="6" spans="1:9" ht="15.75" thickBot="1" x14ac:dyDescent="0.3">
      <c r="A6" s="4" t="s">
        <v>24</v>
      </c>
      <c r="B6" s="4"/>
      <c r="C6" s="5">
        <f>SUM(C3:C5)</f>
        <v>10600</v>
      </c>
      <c r="G6" s="49"/>
      <c r="H6" s="50"/>
      <c r="I6" s="51"/>
    </row>
    <row r="7" spans="1:9" x14ac:dyDescent="0.25">
      <c r="C7" s="3"/>
      <c r="G7" s="49"/>
      <c r="H7" s="50"/>
      <c r="I7" s="51"/>
    </row>
    <row r="8" spans="1:9" x14ac:dyDescent="0.25">
      <c r="C8" s="3"/>
      <c r="G8" s="49"/>
      <c r="H8" s="50"/>
      <c r="I8" s="51"/>
    </row>
    <row r="9" spans="1:9" ht="15.75" x14ac:dyDescent="0.25">
      <c r="A9" s="13" t="s">
        <v>28</v>
      </c>
      <c r="C9" s="3"/>
      <c r="G9" s="49"/>
      <c r="H9" s="50"/>
      <c r="I9" s="51"/>
    </row>
    <row r="10" spans="1:9" x14ac:dyDescent="0.25">
      <c r="A10" s="6" t="s">
        <v>31</v>
      </c>
      <c r="B10" s="7"/>
      <c r="C10" s="3"/>
      <c r="G10" s="49"/>
      <c r="H10" s="50"/>
      <c r="I10" s="51"/>
    </row>
    <row r="11" spans="1:9" x14ac:dyDescent="0.25">
      <c r="A11" s="8" t="s">
        <v>32</v>
      </c>
      <c r="C11" s="9">
        <f>168+665</f>
        <v>833</v>
      </c>
      <c r="G11" s="49"/>
      <c r="H11" s="50"/>
      <c r="I11" s="83"/>
    </row>
    <row r="12" spans="1:9" x14ac:dyDescent="0.25">
      <c r="A12" s="6" t="s">
        <v>34</v>
      </c>
      <c r="C12" s="9"/>
      <c r="G12" s="49"/>
      <c r="H12" s="50"/>
      <c r="I12" s="51"/>
    </row>
    <row r="13" spans="1:9" x14ac:dyDescent="0.25">
      <c r="A13" s="8" t="s">
        <v>12</v>
      </c>
      <c r="C13" s="9">
        <v>1.5</v>
      </c>
      <c r="G13" s="49"/>
      <c r="H13" s="50"/>
      <c r="I13" s="51"/>
    </row>
    <row r="14" spans="1:9" x14ac:dyDescent="0.25">
      <c r="A14" s="8" t="s">
        <v>35</v>
      </c>
      <c r="C14" s="9">
        <v>878</v>
      </c>
      <c r="G14" s="49"/>
      <c r="H14" s="50"/>
      <c r="I14" s="51"/>
    </row>
    <row r="15" spans="1:9" x14ac:dyDescent="0.25">
      <c r="A15" s="8" t="s">
        <v>85</v>
      </c>
      <c r="C15" s="9">
        <v>1240</v>
      </c>
    </row>
    <row r="16" spans="1:9" x14ac:dyDescent="0.25">
      <c r="A16" s="6" t="s">
        <v>36</v>
      </c>
      <c r="C16" s="9"/>
    </row>
    <row r="17" spans="1:3" x14ac:dyDescent="0.25">
      <c r="A17" s="8" t="s">
        <v>25</v>
      </c>
      <c r="C17" s="9">
        <v>6683</v>
      </c>
    </row>
    <row r="18" spans="1:3" x14ac:dyDescent="0.25">
      <c r="A18" s="8" t="s">
        <v>26</v>
      </c>
      <c r="C18" s="9">
        <v>13459</v>
      </c>
    </row>
    <row r="19" spans="1:3" x14ac:dyDescent="0.25">
      <c r="A19" s="8" t="s">
        <v>71</v>
      </c>
      <c r="C19" s="9">
        <v>360</v>
      </c>
    </row>
    <row r="20" spans="1:3" x14ac:dyDescent="0.25">
      <c r="A20" s="8" t="s">
        <v>41</v>
      </c>
      <c r="C20" s="9">
        <f>1870+13012</f>
        <v>14882</v>
      </c>
    </row>
    <row r="21" spans="1:3" x14ac:dyDescent="0.25">
      <c r="A21" s="8" t="s">
        <v>84</v>
      </c>
      <c r="C21" s="9">
        <v>2130</v>
      </c>
    </row>
    <row r="22" spans="1:3" ht="15.75" thickBot="1" x14ac:dyDescent="0.3">
      <c r="A22" s="4" t="s">
        <v>24</v>
      </c>
      <c r="B22" s="10"/>
      <c r="C22" s="5">
        <f>SUM(C9:C21)</f>
        <v>40466.5</v>
      </c>
    </row>
    <row r="24" spans="1:3" ht="15.75" x14ac:dyDescent="0.25">
      <c r="A24" s="13" t="s">
        <v>50</v>
      </c>
      <c r="C24" s="11">
        <f>C6-C22</f>
        <v>-29866.5</v>
      </c>
    </row>
    <row r="27" spans="1:3" x14ac:dyDescent="0.25">
      <c r="A27" s="6" t="s">
        <v>44</v>
      </c>
    </row>
    <row r="28" spans="1:3" x14ac:dyDescent="0.25">
      <c r="A28" s="2">
        <v>41426</v>
      </c>
      <c r="C28" s="24">
        <v>154563.99</v>
      </c>
    </row>
    <row r="29" spans="1:3" x14ac:dyDescent="0.25">
      <c r="A29" s="28">
        <v>41455</v>
      </c>
      <c r="B29" s="16"/>
      <c r="C29" s="17">
        <f>C28+C24</f>
        <v>124697.48999999999</v>
      </c>
    </row>
    <row r="30" spans="1:3" x14ac:dyDescent="0.25">
      <c r="A30" s="12" t="s">
        <v>24</v>
      </c>
      <c r="C30" s="15">
        <f>C29-C28</f>
        <v>-29866.5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C18" sqref="C18"/>
    </sheetView>
  </sheetViews>
  <sheetFormatPr defaultColWidth="8.85546875" defaultRowHeight="15" x14ac:dyDescent="0.25"/>
  <cols>
    <col min="1" max="1" width="12.7109375" style="48" customWidth="1"/>
    <col min="2" max="2" width="15.28515625" style="48" customWidth="1"/>
    <col min="3" max="3" width="15.7109375" style="48" customWidth="1"/>
    <col min="4" max="4" width="8.85546875" style="48"/>
    <col min="5" max="5" width="13.28515625" style="48" bestFit="1" customWidth="1"/>
    <col min="6" max="6" width="8.85546875" style="48"/>
    <col min="7" max="7" width="14.85546875" style="48" customWidth="1"/>
    <col min="8" max="8" width="13.7109375" style="48" customWidth="1"/>
    <col min="9" max="9" width="8.85546875" style="48"/>
    <col min="10" max="10" width="12.42578125" style="48" customWidth="1"/>
    <col min="11" max="16384" width="8.85546875" style="48"/>
  </cols>
  <sheetData>
    <row r="1" spans="1:11" ht="20.25" x14ac:dyDescent="0.3">
      <c r="A1" s="18" t="s">
        <v>16</v>
      </c>
    </row>
    <row r="2" spans="1:11" ht="15.75" x14ac:dyDescent="0.25">
      <c r="A2" s="19" t="s">
        <v>29</v>
      </c>
    </row>
    <row r="3" spans="1:11" x14ac:dyDescent="0.25">
      <c r="A3" s="48" t="s">
        <v>2</v>
      </c>
      <c r="C3" s="20">
        <f>200+200+100+100+200</f>
        <v>800</v>
      </c>
      <c r="F3" s="49"/>
      <c r="G3" s="50"/>
      <c r="H3" s="83"/>
    </row>
    <row r="4" spans="1:11" x14ac:dyDescent="0.25">
      <c r="A4" s="48" t="s">
        <v>40</v>
      </c>
      <c r="C4" s="3">
        <f>9391+2000+18466+27777+952</f>
        <v>58586</v>
      </c>
      <c r="D4" s="48" t="s">
        <v>79</v>
      </c>
      <c r="I4" s="49"/>
      <c r="J4" s="50"/>
      <c r="K4" s="51"/>
    </row>
    <row r="5" spans="1:11" x14ac:dyDescent="0.25">
      <c r="A5" s="48" t="s">
        <v>39</v>
      </c>
      <c r="C5" s="3">
        <f>2400+1000+5000</f>
        <v>8400</v>
      </c>
      <c r="I5" s="49"/>
      <c r="J5" s="50"/>
      <c r="K5" s="51"/>
    </row>
    <row r="6" spans="1:11" ht="15.75" thickBot="1" x14ac:dyDescent="0.3">
      <c r="A6" s="4" t="s">
        <v>24</v>
      </c>
      <c r="B6" s="4"/>
      <c r="C6" s="5">
        <f>SUM(C3:C5)</f>
        <v>67786</v>
      </c>
      <c r="I6" s="49"/>
      <c r="J6" s="50"/>
      <c r="K6" s="51"/>
    </row>
    <row r="7" spans="1:11" x14ac:dyDescent="0.25">
      <c r="C7" s="3"/>
      <c r="I7" s="49"/>
      <c r="J7" s="50"/>
      <c r="K7" s="51"/>
    </row>
    <row r="8" spans="1:11" x14ac:dyDescent="0.25">
      <c r="C8" s="3"/>
      <c r="F8" s="49"/>
      <c r="G8" s="50"/>
      <c r="H8" s="54"/>
      <c r="I8" s="49"/>
      <c r="J8" s="50"/>
      <c r="K8" s="51"/>
    </row>
    <row r="9" spans="1:11" ht="15.75" x14ac:dyDescent="0.25">
      <c r="A9" s="13" t="s">
        <v>28</v>
      </c>
      <c r="C9" s="3"/>
      <c r="I9" s="49"/>
      <c r="J9" s="50"/>
      <c r="K9" s="51"/>
    </row>
    <row r="10" spans="1:11" x14ac:dyDescent="0.25">
      <c r="A10" s="6" t="s">
        <v>31</v>
      </c>
      <c r="B10" s="7"/>
      <c r="C10" s="3"/>
      <c r="I10" s="49"/>
      <c r="J10" s="50"/>
      <c r="K10" s="51"/>
    </row>
    <row r="11" spans="1:11" x14ac:dyDescent="0.25">
      <c r="A11" s="8" t="s">
        <v>32</v>
      </c>
      <c r="C11" s="9">
        <f>168</f>
        <v>168</v>
      </c>
      <c r="F11" s="49"/>
      <c r="G11" s="50"/>
      <c r="H11" s="65"/>
      <c r="I11" s="49"/>
      <c r="J11" s="50"/>
      <c r="K11" s="51"/>
    </row>
    <row r="12" spans="1:11" x14ac:dyDescent="0.25">
      <c r="A12" s="8" t="s">
        <v>33</v>
      </c>
      <c r="C12" s="9">
        <f>180</f>
        <v>180</v>
      </c>
      <c r="I12" s="49"/>
      <c r="J12" s="50"/>
      <c r="K12" s="51"/>
    </row>
    <row r="13" spans="1:11" x14ac:dyDescent="0.25">
      <c r="A13" s="6" t="s">
        <v>34</v>
      </c>
      <c r="C13" s="9"/>
    </row>
    <row r="14" spans="1:11" x14ac:dyDescent="0.25">
      <c r="A14" s="8" t="s">
        <v>12</v>
      </c>
      <c r="C14" s="9">
        <v>6</v>
      </c>
    </row>
    <row r="15" spans="1:11" x14ac:dyDescent="0.25">
      <c r="A15" s="8" t="s">
        <v>80</v>
      </c>
      <c r="C15" s="9">
        <v>6000</v>
      </c>
    </row>
    <row r="16" spans="1:11" x14ac:dyDescent="0.25">
      <c r="A16" s="6" t="s">
        <v>36</v>
      </c>
      <c r="C16" s="9"/>
      <c r="F16" s="49"/>
      <c r="G16" s="50"/>
      <c r="H16" s="65"/>
      <c r="I16" s="49"/>
      <c r="J16" s="50"/>
      <c r="K16" s="51"/>
    </row>
    <row r="17" spans="1:11" x14ac:dyDescent="0.25">
      <c r="A17" s="8" t="s">
        <v>25</v>
      </c>
      <c r="C17" s="9">
        <f>4031+7797</f>
        <v>11828</v>
      </c>
      <c r="I17" s="49"/>
      <c r="J17" s="50"/>
      <c r="K17" s="51"/>
    </row>
    <row r="18" spans="1:11" x14ac:dyDescent="0.25">
      <c r="A18" s="8" t="s">
        <v>26</v>
      </c>
      <c r="C18" s="9">
        <f>13459+8882</f>
        <v>22341</v>
      </c>
      <c r="E18" s="84"/>
    </row>
    <row r="19" spans="1:11" x14ac:dyDescent="0.25">
      <c r="A19" s="8" t="s">
        <v>71</v>
      </c>
      <c r="C19" s="9">
        <f>13483+360</f>
        <v>13843</v>
      </c>
    </row>
    <row r="20" spans="1:11" ht="15.75" thickBot="1" x14ac:dyDescent="0.3">
      <c r="A20" s="4" t="s">
        <v>24</v>
      </c>
      <c r="B20" s="10"/>
      <c r="C20" s="5">
        <f>SUM(C11:C19)</f>
        <v>54366</v>
      </c>
      <c r="F20" s="49"/>
      <c r="G20" s="50"/>
      <c r="H20" s="54"/>
    </row>
    <row r="22" spans="1:11" ht="15.75" x14ac:dyDescent="0.25">
      <c r="A22" s="13" t="s">
        <v>81</v>
      </c>
      <c r="C22" s="11">
        <f>C6-C20</f>
        <v>13420</v>
      </c>
    </row>
    <row r="25" spans="1:11" x14ac:dyDescent="0.25">
      <c r="A25" s="6" t="s">
        <v>82</v>
      </c>
    </row>
    <row r="26" spans="1:11" x14ac:dyDescent="0.25">
      <c r="A26" s="2">
        <v>41395</v>
      </c>
      <c r="C26" s="15">
        <v>141143.99</v>
      </c>
    </row>
    <row r="27" spans="1:11" x14ac:dyDescent="0.25">
      <c r="A27" s="28">
        <v>41425</v>
      </c>
      <c r="B27" s="16"/>
      <c r="C27" s="17">
        <v>154563.99</v>
      </c>
    </row>
    <row r="28" spans="1:11" x14ac:dyDescent="0.25">
      <c r="A28" s="12" t="s">
        <v>24</v>
      </c>
      <c r="C28" s="15">
        <f>C27-C26</f>
        <v>13420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Inkomster och utläggTotalt 2013</vt:lpstr>
      <vt:lpstr>december</vt:lpstr>
      <vt:lpstr>november</vt:lpstr>
      <vt:lpstr>oktober</vt:lpstr>
      <vt:lpstr>september</vt:lpstr>
      <vt:lpstr>augusti</vt:lpstr>
      <vt:lpstr>juli</vt:lpstr>
      <vt:lpstr>juni</vt:lpstr>
      <vt:lpstr>maj</vt:lpstr>
      <vt:lpstr>april</vt:lpstr>
      <vt:lpstr>mars</vt:lpstr>
      <vt:lpstr>februari</vt:lpstr>
      <vt:lpstr>Januari</vt:lpstr>
      <vt:lpstr>månad mall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INIFF</dc:creator>
  <cp:lastModifiedBy>Ägaren</cp:lastModifiedBy>
  <cp:lastPrinted>2014-03-15T08:05:46Z</cp:lastPrinted>
  <dcterms:created xsi:type="dcterms:W3CDTF">2010-06-24T12:59:34Z</dcterms:created>
  <dcterms:modified xsi:type="dcterms:W3CDTF">2014-03-15T08:48:30Z</dcterms:modified>
</cp:coreProperties>
</file>